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Raw_Data" sheetId="2" state="visible" r:id="rId4"/>
    <sheet name="Normalisation" sheetId="3" state="visible" r:id="rId5"/>
    <sheet name="G&amp;A_Screen" sheetId="4" state="visible" r:id="rId6"/>
    <sheet name="Management_Governance" sheetId="5" state="visible" r:id="rId7"/>
    <sheet name="Value_Opportunity" sheetId="6" state="visible" r:id="rId8"/>
    <sheet name="Sources_Methodology" sheetId="7" state="visible" r:id="rId9"/>
    <sheet name="Article_Data" sheetId="8" state="visible" r:id="rId10"/>
    <sheet name="Incremental_Overhead" sheetId="9" state="visible" r:id="rId11"/>
    <sheet name="GTE_ProForma" sheetId="10" state="visible" r:id="rId12"/>
    <sheet name="Headcount" sheetId="11" state="visible" r:id="rId13"/>
    <sheet name="GA_Definitions" sheetId="12" state="visible" r:id="rId14"/>
    <sheet name="Footprint" sheetId="13" state="visible" r:id="rId15"/>
  </sheets>
  <definedNames>
    <definedName function="false" hidden="true" localSheetId="3" name="_xlnm._FilterDatabase" vbProcedure="false">'G&amp;A_Screen'!$A$5:$AA$26</definedName>
    <definedName function="false" hidden="true" localSheetId="1" name="_xlnm._FilterDatabase" vbProcedure="false">Raw_Data!$A$4:$U$46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CEO single figure £1,152k × GBP/USD 1.32 (AR25 governance pp.112-113). Column C = NED fees £480k.</t>
        </r>
      </text>
    </comment>
    <comment ref="B16" authorId="0">
      <text>
        <r>
          <rPr>
            <sz val="10"/>
            <rFont val="Arial"/>
            <family val="2"/>
          </rPr>
          <t xml:space="preserve">Column B here = all executive directors ($4.996m), not CEO alone; C = non-exec fees. IFRS FS 2025.</t>
        </r>
      </text>
    </comment>
    <comment ref="B23" authorId="0">
      <text>
        <r>
          <rPr>
            <sz val="10"/>
            <rFont val="Arial"/>
            <family val="2"/>
          </rPr>
          <t xml:space="preserve">Key management compensation incl. SBC (FY25 financial statements); CEO alone not disclosed in release.</t>
        </r>
      </text>
    </comment>
  </commentList>
</comments>
</file>

<file path=xl/sharedStrings.xml><?xml version="1.0" encoding="utf-8"?>
<sst xmlns="http://schemas.openxmlformats.org/spreadsheetml/2006/main" count="1247" uniqueCount="661">
  <si>
    <t xml:space="preserve">Upstream G&amp;A Efficiency Screen — London-listed E&amp;Ps</t>
  </si>
  <si>
    <t xml:space="preserve">PetroEquity Signal research workbook · v4, 30 Oct 2026 · all money in US$ million unless stated</t>
  </si>
  <si>
    <t xml:space="preserve">How the workbook flows</t>
  </si>
  <si>
    <t xml:space="preserve">Raw_Data</t>
  </si>
  <si>
    <t xml:space="preserve">One row per company-year. Reported figures only, blue = hardcoded input from a filing. Blank = not yet sourced (never estimated).</t>
  </si>
  <si>
    <t xml:space="preserve">Normalisation</t>
  </si>
  <si>
    <t xml:space="preserve">Company attributes (peer group, operator status, tax regime, pro-forma inputs) and the adjustment from reported G&amp;A to recurring cash G&amp;A.</t>
  </si>
  <si>
    <t xml:space="preserve">G&amp;A_Screen</t>
  </si>
  <si>
    <t xml:space="preserve">Ranks companies on scale-adjusted G&amp;A for the year chosen in cell C3. Every figure is a formula off Raw_Data / Normalisation.</t>
  </si>
  <si>
    <t xml:space="preserve">Management_Governance</t>
  </si>
  <si>
    <t xml:space="preserve">Pay, ownership and governance facts for the companies flagged by the screen, sourced from company reports.</t>
  </si>
  <si>
    <t xml:space="preserve">Value_Opportunity</t>
  </si>
  <si>
    <t xml:space="preserve">Cost-reduction scenarios against a benchmark $/boe, after tax, with market cap inputs.</t>
  </si>
  <si>
    <t xml:space="preserve">Sources_Methodology</t>
  </si>
  <si>
    <t xml:space="preserve">Source links, metric definitions, conventions and known limitations.</t>
  </si>
  <si>
    <t xml:space="preserve">Colour legend</t>
  </si>
  <si>
    <t xml:space="preserve">Blue text</t>
  </si>
  <si>
    <t xml:space="preserve">Hardcoded input taken from a company filing or (flagged) an aggregator.</t>
  </si>
  <si>
    <t xml:space="preserve">Black text</t>
  </si>
  <si>
    <t xml:space="preserve">Formula.</t>
  </si>
  <si>
    <t xml:space="preserve">Green text</t>
  </si>
  <si>
    <t xml:space="preserve">Formula pulling from another sheet.</t>
  </si>
  <si>
    <t xml:space="preserve">Yellow fill</t>
  </si>
  <si>
    <t xml:space="preserve">Assumption or input you can override (market cap, benchmarks, tax rate, pro-forma run-rates).</t>
  </si>
  <si>
    <t xml:space="preserve">Coverage</t>
  </si>
  <si>
    <t xml:space="preserve">21 companies screened (FY2025 and FY2024); 6 reviewed and excluded (see Normalisation). Blank cells are figures not yet sourced; nothing is estimated.</t>
  </si>
  <si>
    <t xml:space="preserve">v3 (28 Oct 2026): added Article_Data, Incremental_Overhead, GTE_ProForma, Headcount, GA_Definitions and Footprint tabs, matching the figures published in The Overhead Question.</t>
  </si>
  <si>
    <t xml:space="preserve">v4 (30 Oct 2026): public edition, recalculated, matching the published report.</t>
  </si>
  <si>
    <t xml:space="preserve">Raw Data — reported figures (US$m unless stated)</t>
  </si>
  <si>
    <t xml:space="preserve">Blue = input from filing. Blank = not yet sourced. Flag column states whether a figure is Reported, Derived (arithmetic from reported figures) or Aggregator (third-party data site, to verify against the annual report).</t>
  </si>
  <si>
    <t xml:space="preserve">Key</t>
  </si>
  <si>
    <t xml:space="preserve">Company</t>
  </si>
  <si>
    <t xml:space="preserve">Ticker</t>
  </si>
  <si>
    <t xml:space="preserve">Year</t>
  </si>
  <si>
    <t xml:space="preserve">GAAP</t>
  </si>
  <si>
    <t xml:space="preserve">G&amp;A as reported ($m)</t>
  </si>
  <si>
    <t xml:space="preserve">G&amp;A definition used by company</t>
  </si>
  <si>
    <t xml:space="preserve">SBC inside G&amp;A ($m)</t>
  </si>
  <si>
    <t xml:space="preserve">One-offs inside G&amp;A ($m)</t>
  </si>
  <si>
    <t xml:space="preserve">Gross G&amp;A pre-recharge ($m)</t>
  </si>
  <si>
    <t xml:space="preserve">Production (boepd, WI)</t>
  </si>
  <si>
    <t xml:space="preserve">Production basis</t>
  </si>
  <si>
    <t xml:space="preserve">Revenue ($m)</t>
  </si>
  <si>
    <t xml:space="preserve">Adj. EBITDA(X) ($m)</t>
  </si>
  <si>
    <t xml:space="preserve">Operating cash flow ($m)</t>
  </si>
  <si>
    <t xml:space="preserve">Free cash flow ($m)</t>
  </si>
  <si>
    <t xml:space="preserve">Net debt / (cash) ($m)</t>
  </si>
  <si>
    <t xml:space="preserve">Employees (total)</t>
  </si>
  <si>
    <t xml:space="preserve">Data flag</t>
  </si>
  <si>
    <t xml:space="preserve">Source</t>
  </si>
  <si>
    <t xml:space="preserve">Notes</t>
  </si>
  <si>
    <t xml:space="preserve">Harbour Energy</t>
  </si>
  <si>
    <t xml:space="preserve">HBR</t>
  </si>
  <si>
    <t xml:space="preserve">2025</t>
  </si>
  <si>
    <t xml:space="preserve">IFRS</t>
  </si>
  <si>
    <t xml:space="preserve">IS 'General and administrative expenses'</t>
  </si>
  <si>
    <t xml:space="preserve">WI average</t>
  </si>
  <si>
    <t xml:space="preserve">Reported; SBC total assumed in G&amp;A</t>
  </si>
  <si>
    <t xml:space="preserve">https://data.fca.org.uk/artefacts/NSM/RNS/d1abc513-bcc2-473c-babe-6e01494880ab.html</t>
  </si>
  <si>
    <t xml:space="preserve">Includes $78m one-off M&amp;A/restructuring/reorganisation and expansion of corporate centre. c.3,400 employees (H1 25 RNS) — not loaded as average. LLOG ($3.2bn) completed Feb 2026, Waldorf and Indonesia 2026. | Employees: 2,912 average (571 offshore, 2,341 onshore/admin), AR2025 note 6. Year-end total employees 2,846; total workforce incl. contractors 3,176.</t>
  </si>
  <si>
    <t xml:space="preserve">2024</t>
  </si>
  <si>
    <t xml:space="preserve">Reported</t>
  </si>
  <si>
    <t xml:space="preserve">Wintershall Dea consolidated from 1 Sep 2024 only; $119m one-offs all Wintershall Dea. | Employees: 2,159 average (545 offshore, 1,614 onshore/admin; Wintershall Dea Sep-Dec only), AR2025 note 6. Year-end 3,014; Sep-Dec 2024 average 3,019.</t>
  </si>
  <si>
    <t xml:space="preserve">Gran Tierra Energy</t>
  </si>
  <si>
    <t xml:space="preserve">GTE</t>
  </si>
  <si>
    <t xml:space="preserve">US GAAP</t>
  </si>
  <si>
    <t xml:space="preserve">G&amp;A incl. stock-based comp</t>
  </si>
  <si>
    <t xml:space="preserve">WI before royalties</t>
  </si>
  <si>
    <t xml:space="preserve">https://mfn.se/all/a/gran-tierra-energy/gran-tierra-energy-inc-announces-2025-fourth-quarter-and-year-end-results-1fd36e17</t>
  </si>
  <si>
    <t xml:space="preserve">G&amp;A pre-SBC $56.9m (+37%) on full-year Canada (i3) and acquisition-related BD/consulting. Employees at 27 Feb 2026. H1 2026 G&amp;A $44.3m incl. $15.9m SBC (equity-plan acceleration linked to sale).</t>
  </si>
  <si>
    <t xml:space="preserve">Pre-SBC G&amp;A $41.4m incl. severance and 2 months of Canada. FCF restated from (9.3) in FY24 release.</t>
  </si>
  <si>
    <t xml:space="preserve">EnQuest</t>
  </si>
  <si>
    <t xml:space="preserve">ENQ</t>
  </si>
  <si>
    <t xml:space="preserve">Net G&amp;A after recharge to operations/JV partners</t>
  </si>
  <si>
    <t xml:space="preserve">Reported WI (Vietnam from 9 Jul)</t>
  </si>
  <si>
    <t xml:space="preserve">Reported (gross = sum of note lines)</t>
  </si>
  <si>
    <t xml:space="preserve">https://www.enquest.com/fileadmin/content/Annual_Reports/Annual_Report_2025/50243_EnQuest_Annual_Report_2025_Financials.pdf</t>
  </si>
  <si>
    <t xml:space="preserve">Note 4(c): staff 73.6 + depreciation 5.1 + other 26.4 = gross 105.1; recharged (97.6) = 93%. Avg employees 694 excl. contractors, of which 359 G&amp;A. SBC total was a net credit (0.669). CEO single figure £1,152k.</t>
  </si>
  <si>
    <t xml:space="preserve">Net G&amp;A after recharges</t>
  </si>
  <si>
    <t xml:space="preserve">Reported WI</t>
  </si>
  <si>
    <t xml:space="preserve">Gross 108.6 (staff 75.8 + dep 6.0 + other 26.7), recharge (102.9). 336 of 673 employees in G&amp;A. FY2023 gross 109.1 / net 6.3.</t>
  </si>
  <si>
    <t xml:space="preserve">Serica Energy</t>
  </si>
  <si>
    <t xml:space="preserve">SQZ</t>
  </si>
  <si>
    <t xml:space="preserve">https://www.investegate.co.uk/announcement/rns/serica-energy--sqz/2025-full-year-results/9492556</t>
  </si>
  <si>
    <t xml:space="preserve">Transaction costs $5.5m on separate IS line (outside G&amp;A). Company says G&amp;A includes unquantified M&amp;A and Main Market preparation costs, offset by costs allocated to operations. 2025 production depressed by Triton downtime. Employees at year-end. | Employees: AR2025 gives 233 average (13 mgmt, 193 technical, 27 finance/admin); 242 here is year-end.</t>
  </si>
  <si>
    <t xml:space="preserve">Net debt 2024 derived: borrowings 231 − cash 148. | Employees: 222 average (12 management, 185 technical, 25 finance/admin), AR2025 staff costs note.</t>
  </si>
  <si>
    <t xml:space="preserve">Ithaca Energy</t>
  </si>
  <si>
    <t xml:space="preserve">ITH</t>
  </si>
  <si>
    <t xml:space="preserve">IS 'Administrative expenses'</t>
  </si>
  <si>
    <t xml:space="preserve">Reported; SBC total assumed in admin</t>
  </si>
  <si>
    <t xml:space="preserve">https://investors.ithacaenergy.com/sites/ithaca-ir/files/2026-03/2025-year-end-financial-results.pdf</t>
  </si>
  <si>
    <t xml:space="preserve">One-offs: business combination 0.3 + restructuring 3.5 in admin. Executive Chairman structure; Delek/Eni controlled. | Employees: 798 average (462 onshore/admin, 336 offshore), AR2025 note 7.</t>
  </si>
  <si>
    <t xml:space="preserve">Eni UK assets from Oct 2024 only; 16.3 business-combination costs in admin. | Employees: 701 average (374 onshore/admin, 327 offshore; Eni UK 3 months), AR2025 note 7.</t>
  </si>
  <si>
    <t xml:space="preserve">Energean</t>
  </si>
  <si>
    <t xml:space="preserve">ENOG</t>
  </si>
  <si>
    <t xml:space="preserve">WI average, Group</t>
  </si>
  <si>
    <t xml:space="preserve">https://www.investegate.co.uk/announcement/rns/energean--enog/2025-full-year-results/9481429</t>
  </si>
  <si>
    <t xml:space="preserve">Cash G&amp;A 38 = IFRS 53.6 − SBC 8 − depreciation 8. Recurring figure here still includes c.$8m depreciation. | Employees: 601 average monthly incl. exec directors (193 admin, 408 technical), AR2025 note 8. Excludes 552 AQP staff consolidated at 100%.</t>
  </si>
  <si>
    <t xml:space="preserve">Cash G&amp;A 37 = 51.0 − SBC 8 − depreciation 6. | Employees: 594 average monthly (195 admin, 399 technical), AR2025 note 8. Excludes 594 AQP staff.</t>
  </si>
  <si>
    <t xml:space="preserve">Tullow Oil</t>
  </si>
  <si>
    <t xml:space="preserve">TLW</t>
  </si>
  <si>
    <t xml:space="preserve">IS 'Administrative expenses' (= net G&amp;A)</t>
  </si>
  <si>
    <t xml:space="preserve">https://www.tullowoil.com/application/files/7517/7737/0156/Tullow_Oil_Plc_-_2025_FY_Report.pdf</t>
  </si>
  <si>
    <t xml:space="preserve">Gross G&amp;A $137m (AR KPI p.8) vs net $45m: c.$92m recharged to Ghana JV / capitalised. Admin includes $4.6m depreciation. Restructuring $7.2m booked outside admin. 285 people at YE25 (permanent headcount −28%). | Employees: 346 average (169 admin, 177 technical), AR2025 note 3. Year-end 285.</t>
  </si>
  <si>
    <t xml:space="preserve">WI average incl. Gabon</t>
  </si>
  <si>
    <t xml:space="preserve">Gross 2024 shown only graphically in H1 2025 presentation slide 9 — not loaded. | Employees: 402 average (198 admin, 204 technical), AR2025 note 3.</t>
  </si>
  <si>
    <t xml:space="preserve">Gulf Keystone</t>
  </si>
  <si>
    <t xml:space="preserve">GKP</t>
  </si>
  <si>
    <t xml:space="preserve">'Other G&amp;A' 9.3 + 'Share option related expenses' 7.0</t>
  </si>
  <si>
    <t xml:space="preserve">Gross Shaikan × 80% WI</t>
  </si>
  <si>
    <t xml:space="preserve">Reported / Derived (sum of two IS lines)</t>
  </si>
  <si>
    <t xml:space="preserve">https://www.investegate.co.uk/announcement/eqs/gulf-keystone-petroleum-ltd-com-shs-di---gkp/2025-full-year-results-announcement/9481598</t>
  </si>
  <si>
    <t xml:space="preserve">Company headline 'other G&amp;A' $9.3m excludes share options. Employees incl. contractors (287 FTE). Adj. EBITDA on invoiced revenue.</t>
  </si>
  <si>
    <t xml:space="preserve">'Other G&amp;A' 11.4 + share options 4.4</t>
  </si>
  <si>
    <t xml:space="preserve">Gross × 80% WI</t>
  </si>
  <si>
    <t xml:space="preserve">Reported / Derived</t>
  </si>
  <si>
    <t xml:space="preserve">274 FTE.</t>
  </si>
  <si>
    <t xml:space="preserve">Jadestone Energy</t>
  </si>
  <si>
    <t xml:space="preserve">JSE</t>
  </si>
  <si>
    <t xml:space="preserve">'Administrative staff costs' only (no G&amp;A line)</t>
  </si>
  <si>
    <t xml:space="preserve">Reported — PARTIAL</t>
  </si>
  <si>
    <t xml:space="preserve">https://www.energy-pedia.com/news/general/jadestone-energy-announces-2025-full-year-results-203965</t>
  </si>
  <si>
    <t xml:space="preserve">No single G&amp;A line. Company cash reconciliation shows G&amp;A 40.2 + admin staff 22.5. 'Other expenses' 49.7 includes P&amp;A and asset write-offs. $9.8m technical-office staff costs reclassified into production costs. Onshore headcount 265. EXCLUDED from ranking. | Employees: 421 average incl. exec directors (156 production, 256 technical/admin, 9 management), AR2025 note 9. Average onshore headcount 265.</t>
  </si>
  <si>
    <t xml:space="preserve">'Administrative staff costs' only (restated)</t>
  </si>
  <si>
    <t xml:space="preserve">https://www.jadestone-energy.com/wp-content/uploads/2024/06/20250520-Jadestone-2024-Full-Year-Results-Statement-vF.pdf</t>
  </si>
  <si>
    <t xml:space="preserve">Onshore headcount 252. | Employees: 422 average (159 production, 254 technical/admin, 9 management), AR2025 note 9. Average onshore headcount 252.</t>
  </si>
  <si>
    <t xml:space="preserve">Kistos</t>
  </si>
  <si>
    <t xml:space="preserve">KIST</t>
  </si>
  <si>
    <t xml:space="preserve">Not sourced (AR blocked)</t>
  </si>
  <si>
    <t xml:space="preserve">https://www.stockopedia.com/share-prices/kistos-holdings-LON:KIST/news/urn:newsml:reuters.com:20260626:nRSZ8551Ja</t>
  </si>
  <si>
    <t xml:space="preserve">FY25 G&amp;A not obtainable from primary source; aggregator figure rejected (disagrees with reported 2024). H1 2026 G&amp;A $13.1m vs $9.1m H1 2025, plus $1.6m transaction costs.</t>
  </si>
  <si>
    <t xml:space="preserve">https://www.ajbell.co.uk/news/articles/kistos-loss-widens-production-rate-and-prices-decline-during-2024</t>
  </si>
  <si>
    <t xml:space="preserve">Transaction costs 0.9 (line not stated). 52 employees.</t>
  </si>
  <si>
    <t xml:space="preserve">Pharos Energy</t>
  </si>
  <si>
    <t xml:space="preserve">PHAR</t>
  </si>
  <si>
    <t xml:space="preserve">Reported / EBITDA derived</t>
  </si>
  <si>
    <t xml:space="preserve">https://www.pharos.energy/media/tzsd1ce1/phar-2025-preliminary-results_25032026.pdf</t>
  </si>
  <si>
    <t xml:space="preserve">EBITDA derived: operating profit 8.7 + DD&amp;A 46.6. Ratio Petroleum scheme approved by shareholders 28 Aug 2026; effective expected 1H 2027 (Serica withdrew 13 Aug 2026). | Employees: AR2025 note 11 gives 33 average monthly (29 admin, 4 ops); 32 here may be a different basis.</t>
  </si>
  <si>
    <t xml:space="preserve">0.4 Cairo redundancy in admin. EBITDA derived net of 26.3 impairment reversal. | Employees: 35 average monthly incl. exec directors (31 admin, 4 operations), AR2025 note 11.</t>
  </si>
  <si>
    <t xml:space="preserve">Diversified Energy</t>
  </si>
  <si>
    <t xml:space="preserve">DEC</t>
  </si>
  <si>
    <t xml:space="preserve">Net production (1,086 MMcfepd ÷ 6)</t>
  </si>
  <si>
    <t xml:space="preserve">Reported / production converted</t>
  </si>
  <si>
    <t xml:space="preserve">https://d1io3yog0oux5.cloudfront.net/_cef0d36adf7f19b359a1f857a01b7c12/dgoc/db/556/6048/file/2025+IFRS+Financial+Statements+(FINAL).pdf</t>
  </si>
  <si>
    <t xml:space="preserve">Note 7: recurring cash G&amp;A 96.5 + acquisition costs 35.7 + other one-offs 19.4 + SBC 10.4. US GAAP 10-K G&amp;A c.168. Maverick (Mar 25) and Canvas (Nov 25) acquisitions. Employees year-end. Directors' total $6.2m.</t>
  </si>
  <si>
    <t xml:space="preserve">Net production (791 MMcfepd ÷ 6)</t>
  </si>
  <si>
    <t xml:space="preserve">Recurring cash 86.9; acquisition 11.6; other 22.4.</t>
  </si>
  <si>
    <t xml:space="preserve">Seplat Energy</t>
  </si>
  <si>
    <t xml:space="preserve">SEPL</t>
  </si>
  <si>
    <t xml:space="preserve">IS 'G&amp;A'</t>
  </si>
  <si>
    <t xml:space="preserve">https://www.seplatenergy.com/media/qo5pqfso/fy-2025-results-investor-presentation_260226-1.pdf</t>
  </si>
  <si>
    <t xml:space="preserve">First full year with MPNU offshore assets. No cash/recurring split; SBC not found for 2025. Company $5.2/boe. | Employees: 1,506 in Nigeria excl. directors, incl. 863 staff from the offshore business combination, AR2025 note 43.5 (pay-band table; basis not stated as average).</t>
  </si>
  <si>
    <t xml:space="preserve">IS 'G&amp;A' (restated)</t>
  </si>
  <si>
    <t xml:space="preserve">WI average (19 days MPNU)</t>
  </si>
  <si>
    <t xml:space="preserve">Reported; employees aggregator</t>
  </si>
  <si>
    <t xml:space="preserve">https://www.investegate.co.uk/announcement/rns/seplat-energy-di---sepl/full-year-2024-financial-results-/8761385</t>
  </si>
  <si>
    <t xml:space="preserve">MPNU completed 12 Dec 2024; acquisition fees in G&amp;A not quantified. Comparability poor.</t>
  </si>
  <si>
    <t xml:space="preserve">Genel Energy</t>
  </si>
  <si>
    <t xml:space="preserve">GENL</t>
  </si>
  <si>
    <t xml:space="preserve">IS 'General and administrative costs'</t>
  </si>
  <si>
    <t xml:space="preserve">WI (Tawke 25%, non-op)</t>
  </si>
  <si>
    <t xml:space="preserve">https://www.eqs-news.com/news/uk-regulatory/genel-energy-plc-audited-results-for-the-year-ended-31-december-2025/15409e74-6afa-4c64-806d-6e2f8d959e2f_en</t>
  </si>
  <si>
    <t xml:space="preserve">Corporate cash costs 9.1 + other operating 7.8 + SBC 1.9 + dep 0.1. 23 of 75 staff in Somaliland exploration. Acquiring Capricorn (~$360m, approved 18 Aug 2026).</t>
  </si>
  <si>
    <t xml:space="preserve">WI (non-op)</t>
  </si>
  <si>
    <t xml:space="preserve">EBITDAX 2024 depressed by 32.2 arbitration accrual (33 excl.).</t>
  </si>
  <si>
    <t xml:space="preserve">Capricorn Energy</t>
  </si>
  <si>
    <t xml:space="preserve">CNE</t>
  </si>
  <si>
    <t xml:space="preserve">WI (net entitlement 9,701)</t>
  </si>
  <si>
    <t xml:space="preserve">Reported / FCF derived</t>
  </si>
  <si>
    <t xml:space="preserve">https://www.investegate.co.uk/announcement/rns/capricorn-energy--cne/full-year-results-announcement/9492533</t>
  </si>
  <si>
    <t xml:space="preserve">Company: gross cash G&amp;A 24 incl. 2 legacy; net after time-writing recharges excl. BD 19. Non-operated Egypt (50:50 Cheiron). Being acquired by Genel.</t>
  </si>
  <si>
    <t xml:space="preserve">WI (net entitlement 9,737)</t>
  </si>
  <si>
    <t xml:space="preserve">2 legacy costs.</t>
  </si>
  <si>
    <t xml:space="preserve">Afentra</t>
  </si>
  <si>
    <t xml:space="preserve">AET</t>
  </si>
  <si>
    <t xml:space="preserve">IS 'Total administrative expenses'</t>
  </si>
  <si>
    <t xml:space="preserve">Net WI, oil</t>
  </si>
  <si>
    <t xml:space="preserve">Reported; FCF derived</t>
  </si>
  <si>
    <t xml:space="preserve">https://www.investegate.co.uk/announcement/rns/afentra--aet/fy2025-annual-results-and-corporate-update/9565884</t>
  </si>
  <si>
    <t xml:space="preserve">One-off column = pre-licence/new-venture costs. Increase from staff and strategic-review advisers. Non-op Angola.</t>
  </si>
  <si>
    <t xml:space="preserve">https://www.investegate.co.uk/announcement/rns/afentra--aet/final-results-/8843107</t>
  </si>
  <si>
    <t xml:space="preserve">Azule acquisition completed May 2024.</t>
  </si>
  <si>
    <t xml:space="preserve">Touchstone Exploration</t>
  </si>
  <si>
    <t xml:space="preserve">TXP</t>
  </si>
  <si>
    <t xml:space="preserve">IS 'General and administration' (net of capitalised)</t>
  </si>
  <si>
    <t xml:space="preserve">WI before royalty</t>
  </si>
  <si>
    <t xml:space="preserve">Reported; gross derived</t>
  </si>
  <si>
    <t xml:space="preserve">https://pdf.dfcfw.com/pdf/H22_AN202603311820910473_1.pdf</t>
  </si>
  <si>
    <t xml:space="preserve">SBC (0.21) and transaction costs (0.47) on separate lines. Gross = net + capitalised 0.40. Revenue net of royalty. Shell Central Block acquired May 2025.</t>
  </si>
  <si>
    <t xml:space="preserve">IS 'General and administration'</t>
  </si>
  <si>
    <t xml:space="preserve">SBC 1.59 and transaction 2.02 outside G&amp;A.</t>
  </si>
  <si>
    <t xml:space="preserve">PetroTal</t>
  </si>
  <si>
    <t xml:space="preserve">PTAL</t>
  </si>
  <si>
    <t xml:space="preserve">'G&amp;A'</t>
  </si>
  <si>
    <t xml:space="preserve">Basis not stated</t>
  </si>
  <si>
    <t xml:space="preserve">https://www.investegate.co.uk/announcement/rns/petrotal-corporation-npv-di---ptal/q4-and-full-year-2025-results/9492518</t>
  </si>
  <si>
    <t xml:space="preserve">FCF = company 'free funds flow'. H1 2026 G&amp;A 15.6 on 13,726 bopd (erosion issues). | Employees: 234 at 31 Dec 2025 (217 Peru, 17 USA), PetroTal 2025 Forced/Child Labour report. Year-end basis. | Operating cash flow $164.3m (net cash provided by operating activities), Q4 2025 reporting package.</t>
  </si>
  <si>
    <t xml:space="preserve">https://www.investegate.co.uk/announcement/rns/petrotal-corporation-npv-di---ptal/q4-and-full-year-2024-results/8788034</t>
  </si>
  <si>
    <t xml:space="preserve">Operating cash flow $230.8m, Q4 2025 reporting package (comparative).</t>
  </si>
  <si>
    <t xml:space="preserve">Arrow Exploration</t>
  </si>
  <si>
    <t xml:space="preserve">AXL</t>
  </si>
  <si>
    <t xml:space="preserve">IS 'Administrative'</t>
  </si>
  <si>
    <t xml:space="preserve">Before royalties</t>
  </si>
  <si>
    <t xml:space="preserve">https://www.newsfilecorp.com/release/294750</t>
  </si>
  <si>
    <t xml:space="preserve">SBC 0.16 separate. Key management pay $5.4m ≈ 45% of G&amp;A.</t>
  </si>
  <si>
    <t xml:space="preserve">SBC 1.48 separate. Key management pay $6.2m.</t>
  </si>
  <si>
    <t xml:space="preserve">Star Energy Group</t>
  </si>
  <si>
    <t xml:space="preserve">STAR</t>
  </si>
  <si>
    <t xml:space="preserve">IFRS (GBP)</t>
  </si>
  <si>
    <t xml:space="preserve">IS 'Administrative expenses' £4.91m × 1.32</t>
  </si>
  <si>
    <t xml:space="preserve">Net</t>
  </si>
  <si>
    <t xml:space="preserve">Reported in GBP; USD derived at company avg rate</t>
  </si>
  <si>
    <t xml:space="preserve">https://www.investegate.co.uk/announcement/rns/star-energy-group-plc--star/final-results/9542878</t>
  </si>
  <si>
    <t xml:space="preserve">Geothermal research £0.74m outside admin. Redundancy £0.2m. | Employees: 114 staff at 31 Dec 2025, AR2025 p.8 (diversity table shows 111). Year-end basis.</t>
  </si>
  <si>
    <t xml:space="preserve">IS 'Administrative expenses' £7.42m × 1.28</t>
  </si>
  <si>
    <t xml:space="preserve">Reported in GBP; USD derived</t>
  </si>
  <si>
    <t xml:space="preserve">Redundancy £0.5m; £2.0m other expenses outside admin. | Employees: 133 per AR2025 workforce diversity table (2024). Basis not stated.</t>
  </si>
  <si>
    <t xml:space="preserve">Zephyr Energy</t>
  </si>
  <si>
    <t xml:space="preserve">ZPHR</t>
  </si>
  <si>
    <t xml:space="preserve">Net non-operated</t>
  </si>
  <si>
    <t xml:space="preserve">Reported; FCF/ND derived</t>
  </si>
  <si>
    <t xml:space="preserve">https://www.investegate.co.uk/announcement/rns/zephyr-energy--zphr/final-results/9642999</t>
  </si>
  <si>
    <t xml:space="preserve">SBC 0.25 separate. Operated Paradox (pre-production) carries the overhead; going-concern material uncertainty.</t>
  </si>
  <si>
    <t xml:space="preserve">https://www.investegate.co.uk/announcement/rns/zephyr-energy--zphr/final-results/8953325</t>
  </si>
  <si>
    <t xml:space="preserve">SBC 3.13 separate; impairment 14.5.</t>
  </si>
  <si>
    <t xml:space="preserve">Normalisation — company attributes and adjustments</t>
  </si>
  <si>
    <t xml:space="preserve">Part A: attributes used for peer groups and tax. Part B: reported → recurring cash G&amp;A, by company-year. Yellow = judgement inputs you can override.</t>
  </si>
  <si>
    <t xml:space="preserve">Peer group</t>
  </si>
  <si>
    <t xml:space="preserve">Primary setting</t>
  </si>
  <si>
    <t xml:space="preserve">Operated?</t>
  </si>
  <si>
    <t xml:space="preserve">Countries (producing)</t>
  </si>
  <si>
    <t xml:space="preserve">Oil / gas weighting</t>
  </si>
  <si>
    <t xml:space="preserve">Business model</t>
  </si>
  <si>
    <t xml:space="preserve">UK ring-fence tax exposure</t>
  </si>
  <si>
    <t xml:space="preserve">Marginal tax rate on G&amp;A savings</t>
  </si>
  <si>
    <t xml:space="preserve">Pro-forma production (boepd)</t>
  </si>
  <si>
    <t xml:space="preserve">Pro-forma run-rate G&amp;A ($m)</t>
  </si>
  <si>
    <t xml:space="preserve">Pro-forma evidence / note</t>
  </si>
  <si>
    <t xml:space="preserve">Include in ranking?</t>
  </si>
  <si>
    <t xml:space="preserve">Large (&gt;100k)</t>
  </si>
  <si>
    <t xml:space="preserve">Offshore + onshore</t>
  </si>
  <si>
    <t xml:space="preserve">Mixed</t>
  </si>
  <si>
    <t xml:space="preserve">8+</t>
  </si>
  <si>
    <t xml:space="preserve">Gas-weighted</t>
  </si>
  <si>
    <t xml:space="preserve">Production + growth</t>
  </si>
  <si>
    <t xml:space="preserve">Partial (UK)</t>
  </si>
  <si>
    <t xml:space="preserve">Blended rate placeholder across UK, Norway, Argentina, Mexico, US. 2026 adds LLOG (US Gulf); no G&amp;A run-rate guidance loaded.</t>
  </si>
  <si>
    <t xml:space="preserve">Y</t>
  </si>
  <si>
    <t xml:space="preserve">Mid (20-100k)</t>
  </si>
  <si>
    <t xml:space="preserve">Onshore</t>
  </si>
  <si>
    <t xml:space="preserve">Operated</t>
  </si>
  <si>
    <t xml:space="preserve">3 (→1 + Azerbaijan)</t>
  </si>
  <si>
    <t xml:space="preserve">Oil</t>
  </si>
  <si>
    <t xml:space="preserve">Production, post-disposal</t>
  </si>
  <si>
    <t xml:space="preserve">No</t>
  </si>
  <si>
    <t xml:space="preserve">ANALYTICAL ADJUSTMENT, not reported: sale of Colombia/Ecuador to Maurel &amp; Prom (agreed 5 Aug 2026, approved 9 Oct 2026, closing c.31 Dec 2026) leaves c.12-13k boepd (mid-point used). G&amp;A run-rate = FY25 G&amp;A before SBC, unchanged, because the proxy states the company will maintain the same corporate functions, executives and directors. No company G&amp;A guidance yet.</t>
  </si>
  <si>
    <t xml:space="preserve">Offshore</t>
  </si>
  <si>
    <t xml:space="preserve">Operated (97%)</t>
  </si>
  <si>
    <t xml:space="preserve">3</t>
  </si>
  <si>
    <t xml:space="preserve">Late-life production</t>
  </si>
  <si>
    <t xml:space="preserve">Yes</t>
  </si>
  <si>
    <t xml:space="preserve">Gross G&amp;A disclosed — see Raw_Data. Recharges largely fall on 100%-owned operated assets, so most of the $98m recharge is still borne by shareholders via opex.</t>
  </si>
  <si>
    <t xml:space="preserve">1</t>
  </si>
  <si>
    <t xml:space="preserve">Gas/oil balanced</t>
  </si>
  <si>
    <t xml:space="preserve">Production</t>
  </si>
  <si>
    <t xml:space="preserve">2026 adds Spirit SNS, ONE-Dyas, Prax Upstream, TotalEnergies assets. 2025 volumes depressed by Triton.</t>
  </si>
  <si>
    <t xml:space="preserve">Oil-weighted</t>
  </si>
  <si>
    <t xml:space="preserve">Production + development (Rosebank)</t>
  </si>
  <si>
    <t xml:space="preserve">Rosebank development organisation sits partly in admin.</t>
  </si>
  <si>
    <t xml:space="preserve">4</t>
  </si>
  <si>
    <t xml:space="preserve">Gas (c.84%)</t>
  </si>
  <si>
    <t xml:space="preserve">Israel corporate tax placeholder.</t>
  </si>
  <si>
    <t xml:space="preserve">Operated (Ghana)</t>
  </si>
  <si>
    <t xml:space="preserve">2</t>
  </si>
  <si>
    <t xml:space="preserve">Gross G&amp;A $137m 2025 disclosed. $50m cumulative net savings targeted 2025-27.</t>
  </si>
  <si>
    <t xml:space="preserve">Kurdistan PSC — cost-recoverable; placeholder 0%.</t>
  </si>
  <si>
    <t xml:space="preserve">Small (&lt;20k)</t>
  </si>
  <si>
    <t xml:space="preserve">Oil + gas</t>
  </si>
  <si>
    <t xml:space="preserve">Production + development (Nam Du/U Minh)</t>
  </si>
  <si>
    <t xml:space="preserve">No single G&amp;A line; $9.8m technical office staff moved to production costs. Excluded until the AR note is read.</t>
  </si>
  <si>
    <t xml:space="preserve">N</t>
  </si>
  <si>
    <t xml:space="preserve">Non-operated</t>
  </si>
  <si>
    <t xml:space="preserve">Production + M&amp;A</t>
  </si>
  <si>
    <t xml:space="preserve">Yes (part)</t>
  </si>
  <si>
    <t xml:space="preserve">ANALYTICAL ADJUSTMENT: FY26 pro-forma production guidance 19-21k boepd incl. Oman (mid-point); G&amp;A = H1 2026 G&amp;A $13.093m × 2 (excludes $1.6m transaction costs). FY25 G&amp;A not sourced.</t>
  </si>
  <si>
    <t xml:space="preserve">Non-operated (mostly)</t>
  </si>
  <si>
    <t xml:space="preserve">Ratio Petroleum scheme approved by shareholders; not investable as G&amp;A story.</t>
  </si>
  <si>
    <t xml:space="preserve">Gas</t>
  </si>
  <si>
    <t xml:space="preserve">Production + roll-up M&amp;A</t>
  </si>
  <si>
    <t xml:space="preserve">US mature gas roll-up; recurring cash G&amp;A disclosed by company.</t>
  </si>
  <si>
    <t xml:space="preserve">Onshore + offshore</t>
  </si>
  <si>
    <t xml:space="preserve">Mostly operated</t>
  </si>
  <si>
    <t xml:space="preserve">Nigeria placeholder rate. 2024 not comparable (MPNU 19 days).</t>
  </si>
  <si>
    <t xml:space="preserve">Production + exploration (Somaliland, Oman)</t>
  </si>
  <si>
    <t xml:space="preserve">ANALYTICAL: Genel + Capricorn combined FY25 production (17,520 + 20,024) and reported G&amp;A (18.9 + 24.9), pre-synergy. Deal approved Aug 2026; completion H2 2026.</t>
  </si>
  <si>
    <t xml:space="preserve">Gas + oil</t>
  </si>
  <si>
    <t xml:space="preserve">Egypt PSC (tax paid by state) — 0% placeholder. Being acquired by Genel.</t>
  </si>
  <si>
    <t xml:space="preserve">Angola PSC placeholder.</t>
  </si>
  <si>
    <t xml:space="preserve">Trinidad placeholder.</t>
  </si>
  <si>
    <t xml:space="preserve">Peru placeholder.</t>
  </si>
  <si>
    <t xml:space="preserve">Colombia placeholder.</t>
  </si>
  <si>
    <t xml:space="preserve">Production + geothermal</t>
  </si>
  <si>
    <t xml:space="preserve">UK onshore within ring fence; EPL applies — verify.</t>
  </si>
  <si>
    <t xml:space="preserve">Non-op production; operated development</t>
  </si>
  <si>
    <t xml:space="preserve">Development</t>
  </si>
  <si>
    <t xml:space="preserve">Overhead sized for operated Paradox development, not current non-op production.</t>
  </si>
  <si>
    <t xml:space="preserve">Reviewed and excluded from the universe</t>
  </si>
  <si>
    <t xml:space="preserve">Enwell Energy</t>
  </si>
  <si>
    <t xml:space="preserve">Licences suspended; 2025 calendar production c.134 boepd; admin $7.5m mostly arbitration legal costs; $97m net cash. Special situation, not a G&amp;A comparison.</t>
  </si>
  <si>
    <t xml:space="preserve">https://www.investegate.co.uk/announcement/rns/enwell-energy--enw/2025-audited-results/9565091</t>
  </si>
  <si>
    <t xml:space="preserve">Savannah Energy</t>
  </si>
  <si>
    <t xml:space="preserve">Shares suspended since 1 Jul 2026; FY25 accounts unpublished/unaudited; FY24 audit opinion disclaimed; no clean G&amp;A line (admin blended with opex). Flag for governance, not screen.</t>
  </si>
  <si>
    <t xml:space="preserve">https://www.investegate.co.uk/announcement/rns/savannah-energy--save/operational-and-financial-update/9799824</t>
  </si>
  <si>
    <t xml:space="preserve">Serinus Energy</t>
  </si>
  <si>
    <t xml:space="preserve">Delisted 20 May 2025 (Xtellus scheme).</t>
  </si>
  <si>
    <t xml:space="preserve">Europa Oil &amp; Gas</t>
  </si>
  <si>
    <t xml:space="preserve">c.90 boepd — below threshold.</t>
  </si>
  <si>
    <t xml:space="preserve">Egdon Resources</t>
  </si>
  <si>
    <t xml:space="preserve">Taken private 2023.</t>
  </si>
  <si>
    <t xml:space="preserve">Predator Oil &amp; Gas</t>
  </si>
  <si>
    <t xml:space="preserve">Excluded per brief.</t>
  </si>
  <si>
    <t xml:space="preserve">Part B — Reported to recurring cash G&amp;A</t>
  </si>
  <si>
    <t xml:space="preserve">Reported G&amp;A ($m)</t>
  </si>
  <si>
    <t xml:space="preserve">less SBC ($m)</t>
  </si>
  <si>
    <t xml:space="preserve">less one-offs ($m)</t>
  </si>
  <si>
    <t xml:space="preserve">Recurring cash G&amp;A ($m)</t>
  </si>
  <si>
    <t xml:space="preserve">Gross G&amp;A ($m)</t>
  </si>
  <si>
    <t xml:space="preserve">Recharge / capitalised gap ($m)</t>
  </si>
  <si>
    <t xml:space="preserve">Comparability flag</t>
  </si>
  <si>
    <t xml:space="preserve">G&amp;A Screen — scale-adjusted corporate overhead</t>
  </si>
  <si>
    <t xml:space="preserve">All cells are formulas. Change the year in C3. 'n/a' = input not yet sourced. A high ratio is a prompt for investigation, not a verdict.</t>
  </si>
  <si>
    <t xml:space="preserve">Screen year:</t>
  </si>
  <si>
    <t xml:space="preserve">Outlier threshold (× median $/boe):</t>
  </si>
  <si>
    <t xml:space="preserve">Production (boepd)</t>
  </si>
  <si>
    <t xml:space="preserve">Annual prod. (MMboe)</t>
  </si>
  <si>
    <t xml:space="preserve">G&amp;A $/boe (reported)</t>
  </si>
  <si>
    <t xml:space="preserve">G&amp;A $/boe (recurring)</t>
  </si>
  <si>
    <t xml:space="preserve">G&amp;A $m per 1,000 boepd</t>
  </si>
  <si>
    <t xml:space="preserve">G&amp;A / Revenue</t>
  </si>
  <si>
    <t xml:space="preserve">G&amp;A / EBITDA(X)</t>
  </si>
  <si>
    <t xml:space="preserve">G&amp;A / Op. cash flow</t>
  </si>
  <si>
    <t xml:space="preserve">G&amp;A per employee ($k)</t>
  </si>
  <si>
    <t xml:space="preserve">G&amp;A growth y/y</t>
  </si>
  <si>
    <t xml:space="preserve">Production growth y/y</t>
  </si>
  <si>
    <t xml:space="preserve">G&amp;A growth less prod. growth</t>
  </si>
  <si>
    <t xml:space="preserve">Rank $/boe (1 = highest)</t>
  </si>
  <si>
    <t xml:space="preserve">vs median $/boe</t>
  </si>
  <si>
    <t xml:space="preserve">Screen flag</t>
  </si>
  <si>
    <t xml:space="preserve">G&amp;A comparability</t>
  </si>
  <si>
    <t xml:space="preserve">Gross G&amp;A $/boe (where disclosed)</t>
  </si>
  <si>
    <t xml:space="preserve">In ranking?</t>
  </si>
  <si>
    <t xml:space="preserve">Ranking basis $/boe</t>
  </si>
  <si>
    <t xml:space="preserve">Pro-forma prod. (boepd)</t>
  </si>
  <si>
    <t xml:space="preserve">Pro-forma G&amp;A ($m)</t>
  </si>
  <si>
    <t xml:space="preserve">Pro-forma G&amp;A $/boe</t>
  </si>
  <si>
    <t xml:space="preserve">Pro-forma vs median</t>
  </si>
  <si>
    <t xml:space="preserve">Median (companies with data)</t>
  </si>
  <si>
    <t xml:space="preserve">← median uses ranked companies only (col W)</t>
  </si>
  <si>
    <t xml:space="preserve">Count with G&amp;A</t>
  </si>
  <si>
    <t xml:space="preserve">Peer-group averages of recurring $/boe</t>
  </si>
  <si>
    <t xml:space="preserve">Management &amp; Governance — companies flagged by the screen</t>
  </si>
  <si>
    <t xml:space="preserve">Sourced facts only, from Directors' Remuneration Reports, annual reports and shareholder registers. Blank = not yet sourced.</t>
  </si>
  <si>
    <t xml:space="preserve">CEO total single-figure pay ($m)</t>
  </si>
  <si>
    <t xml:space="preserve">Board fees total ($m)</t>
  </si>
  <si>
    <t xml:space="preserve">Exec + board pay / G&amp;A</t>
  </si>
  <si>
    <t xml:space="preserve">Mgmt shareholding (%)</t>
  </si>
  <si>
    <t xml:space="preserve">Largest holder (%)</t>
  </si>
  <si>
    <t xml:space="preserve">LTIP metrics (production / EBITDA / TSR / M&amp;A)</t>
  </si>
  <si>
    <t xml:space="preserve">M&amp;A count last 5 yrs</t>
  </si>
  <si>
    <t xml:space="preserve">Post-deal G&amp;A reduction evidenced?</t>
  </si>
  <si>
    <t xml:space="preserve">Activist on register?</t>
  </si>
  <si>
    <t xml:space="preserve">Prior cost programme</t>
  </si>
  <si>
    <t xml:space="preserve">Influence constraint</t>
  </si>
  <si>
    <t xml:space="preserve">Sourced facts</t>
  </si>
  <si>
    <t xml:space="preserve">$78m (2025) and $119m (2024) one-off M&amp;A/restructuring in G&amp;A; corporate centre expanded (FY25 RNS).</t>
  </si>
  <si>
    <t xml:space="preserve">Sale of Colombia/Ecuador (c.29k boepd) to Maurel &amp; Prom agreed 5 Aug 2026 for ~$315m net cash; approved 9 Oct 2026, but the advisory vote on deal-related executive compensation failed (9.66m against vs 9.56m for). Proxy: same corporate functions, executives and directors retained. H1 2026 SBC $15.9m on equity-plan acceleration. 406 employees.</t>
  </si>
  <si>
    <t xml:space="preserve">Gross G&amp;A $105m, 93% recharged; 359 of 694 employees in G&amp;A functions (note 4(e)). CEO single figure £1,152k; directors £2,405k (2025). Operates 97% of portfolio.</t>
  </si>
  <si>
    <t xml:space="preserve">Executive Chairman model; controlled by Delek with Eni as major holder.</t>
  </si>
  <si>
    <t xml:space="preserve">Gross G&amp;A $137m vs net $45m (2025). Permanent headcount −28%; 285 people at YE25. $50m net savings targeted 2025-27.</t>
  </si>
  <si>
    <t xml:space="preserve">No single G&amp;A line; $9.8m technical-office staff costs reclassified to production costs (FY25 RNS). Onshore headcount 265.</t>
  </si>
  <si>
    <t xml:space="preserve">G&amp;A $12.9m (2023) → $18.7m (2024) → H1 2026 $13.1m (vs $9.1m H1 2025). Executive Chairman-led.</t>
  </si>
  <si>
    <t xml:space="preserve">Directors' total remuneration $6.2m (2025, exec $5.0m); 1,987 employees YE25.</t>
  </si>
  <si>
    <t xml:space="preserve">Acquiring Capricorn (~$360m), approved 18 Aug 2026. 75 staff (23 Somaliland).</t>
  </si>
  <si>
    <t xml:space="preserve">Gross cash G&amp;A $24m incl. $2m legacy; 41 FTE; non-operated Egypt.</t>
  </si>
  <si>
    <t xml:space="preserve">Key management compensation $5.4m (2025) / $6.2m (2024) vs admin $11.9m / $12.9m.</t>
  </si>
  <si>
    <t xml:space="preserve">Admin $5.8m on 864 boepd non-op production; going-concern material uncertainty FY25.</t>
  </si>
  <si>
    <t xml:space="preserve">Value Opportunity — illustrative cost-reduction scenarios</t>
  </si>
  <si>
    <t xml:space="preserve">Not a valuation. Benchmark defaults to the all-company median; for small companies overwrite C4 with the Small peer-group average on G&amp;A_Screen. Shows what closing part of the gap to a benchmark $/boe would be worth after tax, before implementation cost. UK ring-fence companies keep only ~22% of a pre-tax saving.</t>
  </si>
  <si>
    <t xml:space="preserve">Benchmark recurring G&amp;A ($/boe)</t>
  </si>
  <si>
    <t xml:space="preserve">Default = screen median; overwrite with a peer-group or best-in-class figure.</t>
  </si>
  <si>
    <t xml:space="preserve">Scenario A — share of excess removed</t>
  </si>
  <si>
    <t xml:space="preserve">Scenario B — share of excess removed</t>
  </si>
  <si>
    <t xml:space="preserve">Scenario C — share of excess removed</t>
  </si>
  <si>
    <t xml:space="preserve">Valuation multiple on after-tax saving (x)</t>
  </si>
  <si>
    <t xml:space="preserve">Short-life E&amp;P cash flows; do not use a perpetuity multiple.</t>
  </si>
  <si>
    <t xml:space="preserve">One-off implementation cost (× annual pre-tax saving)</t>
  </si>
  <si>
    <t xml:space="preserve">Redundancy, lease exits, systems.</t>
  </si>
  <si>
    <t xml:space="preserve">GBP/USD</t>
  </si>
  <si>
    <t xml:space="preserve">Update to spot.</t>
  </si>
  <si>
    <t xml:space="preserve">Recurring G&amp;A ($m)</t>
  </si>
  <si>
    <t xml:space="preserve">Benchmark G&amp;A ($m)</t>
  </si>
  <si>
    <t xml:space="preserve">Excess G&amp;A ($m)</t>
  </si>
  <si>
    <t xml:space="preserve">Tax rate on saving</t>
  </si>
  <si>
    <t xml:space="preserve">Market cap (£m)</t>
  </si>
  <si>
    <t xml:space="preserve">Market cap ($m)</t>
  </si>
  <si>
    <t xml:space="preserve">EBITDA(X) ($m)</t>
  </si>
  <si>
    <t xml:space="preserve">Pre-tax saving A ($m)</t>
  </si>
  <si>
    <t xml:space="preserve">Pre-tax saving B ($m)</t>
  </si>
  <si>
    <t xml:space="preserve">Pre-tax saving C ($m)</t>
  </si>
  <si>
    <t xml:space="preserve">After-tax saving B ($m)</t>
  </si>
  <si>
    <t xml:space="preserve">Saving B / EBITDA</t>
  </si>
  <si>
    <t xml:space="preserve">Implementation cost B ($m)</t>
  </si>
  <si>
    <t xml:space="preserve">Value uplift B, net of cost ($m)</t>
  </si>
  <si>
    <t xml:space="preserve">Uplift B / market cap</t>
  </si>
  <si>
    <t xml:space="preserve">Read-across</t>
  </si>
  <si>
    <t xml:space="preserve">Pro-forma cases (analytical adjustments from Normalisation — not reported figures)</t>
  </si>
  <si>
    <t xml:space="preserve">Pro-forma prod. (MMboe)</t>
  </si>
  <si>
    <t xml:space="preserve">Tax rate</t>
  </si>
  <si>
    <t xml:space="preserve">Saving A ($m)</t>
  </si>
  <si>
    <t xml:space="preserve">Saving B ($m)</t>
  </si>
  <si>
    <t xml:space="preserve">Saving C ($m)</t>
  </si>
  <si>
    <t xml:space="preserve">Value uplift B, net ($m)</t>
  </si>
  <si>
    <t xml:space="preserve">Post-sale company keeping a pre-sale corporate base — the clearest resizing case in the screen.</t>
  </si>
  <si>
    <t xml:space="preserve">Pro-forma Oman/Balder scale brings G&amp;A near the median; not an outlier on this basis.</t>
  </si>
  <si>
    <t xml:space="preserve">Combined Genel+Capricorn pre-synergy; overlap of two non-op corporate centres.</t>
  </si>
  <si>
    <t xml:space="preserve">Sources &amp; Methodology</t>
  </si>
  <si>
    <t xml:space="preserve">METRIC DEFINITIONS</t>
  </si>
  <si>
    <t xml:space="preserve">G&amp;A $/boe</t>
  </si>
  <si>
    <t xml:space="preserve">G&amp;A ($m) ÷ annual production (MMboe), where annual production = average WI boepd × 365. Reported and recurring versions shown.</t>
  </si>
  <si>
    <t xml:space="preserve">Annual G&amp;A ($m) ÷ (average boepd ÷ 1,000). Different unit from $/boe (factor of 0.365); never compared across the two.</t>
  </si>
  <si>
    <t xml:space="preserve">Recurring cash G&amp;A</t>
  </si>
  <si>
    <t xml:space="preserve">Reported G&amp;A less share-based compensation inside G&amp;A less separately disclosed one-off transaction / restructuring costs inside G&amp;A. If a component is not disclosed it is not deducted (conservative).</t>
  </si>
  <si>
    <t xml:space="preserve">Gross vs net G&amp;A</t>
  </si>
  <si>
    <t xml:space="preserve">Gross = corporate cost before recharges to operated assets / JV partners and before capitalisation. Net = income-statement figure. Recharge gap shown on Normalisation where both are disclosed. Recharged cost on wholly-owned assets is still borne by shareholders — it simply sits in opex or capex.</t>
  </si>
  <si>
    <t xml:space="preserve">Growth metrics</t>
  </si>
  <si>
    <t xml:space="preserve">Year-on-year only in v1 (two years loaded). Three-year growth requires FY2023 rows.</t>
  </si>
  <si>
    <t xml:space="preserve">Ranking basis</t>
  </si>
  <si>
    <t xml:space="preserve">Ranked on recurring G&amp;A per produced boe for companies marked Y on Normalisation. Gross G&amp;A $/boe shown alongside where the company discloses it (EnQuest, Tullow, Touchstone) but not used for ranking, because most companies only disclose the post-recharge line.</t>
  </si>
  <si>
    <t xml:space="preserve">SBC deduction</t>
  </si>
  <si>
    <t xml:space="preserve">Where a company states SBC inside G&amp;A it is deducted; where only the total SBC charge is disclosed (Harbour, Serica, Ithaca) the total is deducted and flagged. Where SBC sits on a separate IS line (Touchstone, Arrow, Zephyr) nothing is deducted.</t>
  </si>
  <si>
    <t xml:space="preserve">Pro-forma</t>
  </si>
  <si>
    <t xml:space="preserve">Only Gran Tierra, Kistos and Genel+Capricorn have pro-forma inputs; each is an analytical adjustment documented on Normalisation and never shown as reported.</t>
  </si>
  <si>
    <t xml:space="preserve">Headcount</t>
  </si>
  <si>
    <t xml:space="preserve">Total employees only. Corporate vs field split not yet sourced for any company; G&amp;A per employee is therefore indicative.</t>
  </si>
  <si>
    <t xml:space="preserve">Tax on savings</t>
  </si>
  <si>
    <t xml:space="preserve">Value of a G&amp;A saving is after the marginal tax rate where the saving falls. UK ring-fence G&amp;A is deductible at up to 78% (RFCT + SC + EPL), so a $1 UK saving is worth c.$0.22 to equity. Rates on Normalisation are placeholders to be reviewed.</t>
  </si>
  <si>
    <t xml:space="preserve">KNOWN LIMITATIONS</t>
  </si>
  <si>
    <t xml:space="preserve">Inconsistent company definitions</t>
  </si>
  <si>
    <t xml:space="preserve">IFRS lines now used for Energean, Tullow, Gulf Keystone (share options added back). Energean and Tullow recurring figures still include depreciation (c.$8m, $4.6m). Savannah excluded: admin blended with opex.</t>
  </si>
  <si>
    <t xml:space="preserve">Production bases</t>
  </si>
  <si>
    <t xml:space="preserve">Gulf Keystone: gross × 80% WI (derived). Diversified: Mcfe ÷ 6. Touchstone, Arrow: WI before royalty; Afentra net WI; PetroTal basis not stated; Capricorn WI (entitlement c.half). Others WI as reported.</t>
  </si>
  <si>
    <t xml:space="preserve">Aggregator data</t>
  </si>
  <si>
    <t xml:space="preserve">v1 aggregator figures now replaced by filings. Remaining aggregator: Seplat 2024 headcount.</t>
  </si>
  <si>
    <t xml:space="preserve">Portfolio change years</t>
  </si>
  <si>
    <t xml:space="preserve">Harbour 2024 (Wintershall Dea 4 months), Ithaca 2024 (Eni UK from Oct), Tullow 2025 (Gabon sold), Gran Tierra (Canada added 2024; South America exit), Kistos (Oman 2026) — flagged; pro-forma inputs left blank until supported by company guidance.</t>
  </si>
  <si>
    <t xml:space="preserve">SOURCES</t>
  </si>
  <si>
    <t xml:space="preserve">https://www.sec.gov/Archives/edgar/data/1273441/000127344126000010/gte-20251231.htm</t>
  </si>
  <si>
    <t xml:space="preserve">https://www.investegate.co.uk/announcement/rns/enquest--enq/results-for-the-year-ended-31-december-2025/9490315</t>
  </si>
  <si>
    <t xml:space="preserve">https://data.fca.org.uk/artefacts/NSM/RNS/5aeceb53-96ed-46ad-8082-ca5ebcd5c70c.html</t>
  </si>
  <si>
    <t xml:space="preserve">ITHsa</t>
  </si>
  <si>
    <t xml:space="preserve">https://stockanalysis.com/quote/lon/ITH/financials/income-statement/</t>
  </si>
  <si>
    <t xml:space="preserve">TLWts</t>
  </si>
  <si>
    <t xml:space="preserve">https://www.tullowoil.com/application/files/5717/7157/0363/Tullow_-_Trading_Statement_-_RNS.pdf</t>
  </si>
  <si>
    <t xml:space="preserve">TLWsa</t>
  </si>
  <si>
    <t xml:space="preserve">https://stockanalysis.com/quote/lon/TLW/financials/income-statement/</t>
  </si>
  <si>
    <t xml:space="preserve">https://www.gulfkeystone.com/2025-full-year-results-announcement/</t>
  </si>
  <si>
    <t xml:space="preserve">JSE24</t>
  </si>
  <si>
    <t xml:space="preserve">KIST24</t>
  </si>
  <si>
    <t xml:space="preserve">https://www.pharos.energy/media/1lfppa0o/pharos-annual-report-accounts-2025-web.pdf</t>
  </si>
  <si>
    <t xml:space="preserve">PHARpr</t>
  </si>
  <si>
    <t xml:space="preserve">GTEfy</t>
  </si>
  <si>
    <t xml:space="preserve">GTEsale</t>
  </si>
  <si>
    <t xml:space="preserve">https://www.sec.gov/Archives/edgar/data/0001273441/000110465926090711/tm2622187d1_ex99-1.htm</t>
  </si>
  <si>
    <t xml:space="preserve">GTEvote</t>
  </si>
  <si>
    <t xml:space="preserve">https://www.sec.gov/Archives/edgar/data/0001273441/000119312526419229/d26546dex991.htm</t>
  </si>
  <si>
    <t xml:space="preserve">GTEq2</t>
  </si>
  <si>
    <t xml:space="preserve">https://www.sec.gov/Archives/edgar/data/0001273441/000127344126000029/a20260630-pressrelease.htm</t>
  </si>
  <si>
    <t xml:space="preserve">ENQar</t>
  </si>
  <si>
    <t xml:space="preserve">ENQgov</t>
  </si>
  <si>
    <t xml:space="preserve">https://www.enquest.com/fileadmin/content/Annual_Reports/Annual_Report_2025/50243_EnQuest_Annual_Report_2025_Governance.pdf</t>
  </si>
  <si>
    <t xml:space="preserve">ITHar</t>
  </si>
  <si>
    <t xml:space="preserve">TLWfy</t>
  </si>
  <si>
    <t xml:space="preserve">TLWar</t>
  </si>
  <si>
    <t xml:space="preserve">https://www.tullowoil.com/application/files/3817/7752/9096/Tullow-Oil-plc-Annual-Report-and-Accounts-2025.pdf</t>
  </si>
  <si>
    <t xml:space="preserve">GKPfy</t>
  </si>
  <si>
    <t xml:space="preserve">KISTh1</t>
  </si>
  <si>
    <t xml:space="preserve">https://www.investegate.co.uk/announcement/rns/kistos-holdings--kist/interim-results/9771745</t>
  </si>
  <si>
    <t xml:space="preserve">SEPL24</t>
  </si>
  <si>
    <t xml:space="preserve">AET24</t>
  </si>
  <si>
    <t xml:space="preserve">PTAL24</t>
  </si>
  <si>
    <t xml:space="preserve">ZPHR24</t>
  </si>
  <si>
    <t xml:space="preserve">ENW</t>
  </si>
  <si>
    <t xml:space="preserve">SAVE</t>
  </si>
  <si>
    <t xml:space="preserve">Article data: G&amp;A across London-listed E&amp;Ps, FY2025</t>
  </si>
  <si>
    <t xml:space="preserve">US$ million except production and percentages. As published in Appendix D of the article. Blue = hard-coded input from company reports.</t>
  </si>
  <si>
    <t xml:space="preserve">Reported line</t>
  </si>
  <si>
    <t xml:space="preserve">G&amp;A as measured</t>
  </si>
  <si>
    <t xml:space="preserve">$/boe</t>
  </si>
  <si>
    <t xml:space="preserve">% of revenue</t>
  </si>
  <si>
    <t xml:space="preserve">% of cash margin</t>
  </si>
  <si>
    <t xml:space="preserve">2024 G&amp;A as measured</t>
  </si>
  <si>
    <t xml:space="preserve">EnQuest (net)</t>
  </si>
  <si>
    <t xml:space="preserve">EnQuest (gross)</t>
  </si>
  <si>
    <t xml:space="preserve">Tullow Oil (net)</t>
  </si>
  <si>
    <t xml:space="preserve">Tullow Oil (gross)</t>
  </si>
  <si>
    <t xml:space="preserve">n/d</t>
  </si>
  <si>
    <t xml:space="preserve">n/r</t>
  </si>
  <si>
    <t xml:space="preserve">no line</t>
  </si>
  <si>
    <t xml:space="preserve">n/s</t>
  </si>
  <si>
    <t xml:space="preserve">18.7*</t>
  </si>
  <si>
    <t xml:space="preserve">G&amp;A as measured = income-statement line, plus share-based pay reported on a separate line, less one-offs the company quantifies inside the line.</t>
  </si>
  <si>
    <t xml:space="preserve">Cash margin = adjusted EBITDA(X) plus G&amp;A. n/d = not disclosed; n/r = EBITDA not reported; n/s = not sourced; * = 2024 reported line.</t>
  </si>
  <si>
    <t xml:space="preserve">Gulf Keystone production is gross Shaikan x 80% WI; Diversified converted from Mcfe at 6:1; Touchstone and Arrow revenue net of royalty; Star converted from sterling at company average rates.</t>
  </si>
  <si>
    <t xml:space="preserve">Harbour 2024 includes Wintershall Dea for four months; Seplat 2024 includes MPNU for 19 days.</t>
  </si>
  <si>
    <t xml:space="preserve">Median $/boe across companies with a measured figure (net basis, excl. gross rows):</t>
  </si>
  <si>
    <t xml:space="preserve">Added G&amp;A per added barrel, 2024 to 2025</t>
  </si>
  <si>
    <t xml:space="preserve">Incremental $/boe = change in G&amp;A ($m) / (change in boepd x 365 / 1,000,000). Timing caveat: acquisitions part-consolidated in 2024 (Seplat 19 days, Ithaca one quarter, Harbour four months, Gran Tierra two months).</t>
  </si>
  <si>
    <t xml:space="preserve">Acquisition</t>
  </si>
  <si>
    <t xml:space="preserve">Production 2024 (boepd)</t>
  </si>
  <si>
    <t xml:space="preserve">Production 2025 (boepd)</t>
  </si>
  <si>
    <t xml:space="preserve">G&amp;A as measured 2024 ($m)</t>
  </si>
  <si>
    <t xml:space="preserve">G&amp;A as measured 2025 ($m)</t>
  </si>
  <si>
    <t xml:space="preserve">Production change</t>
  </si>
  <si>
    <t xml:space="preserve">G&amp;A change</t>
  </si>
  <si>
    <t xml:space="preserve">Added G&amp;A per added boe ($)</t>
  </si>
  <si>
    <t xml:space="preserve">2025 average G&amp;A ($/boe)</t>
  </si>
  <si>
    <t xml:space="preserve">Ithaca</t>
  </si>
  <si>
    <t xml:space="preserve">Eni UK assets: same country, mixed operatorship</t>
  </si>
  <si>
    <t xml:space="preserve">Diversified</t>
  </si>
  <si>
    <t xml:space="preserve">US gas basins: same country, operated</t>
  </si>
  <si>
    <t xml:space="preserve">Gran Tierra</t>
  </si>
  <si>
    <t xml:space="preserve">i3 Energy: new country (Canada), operated</t>
  </si>
  <si>
    <t xml:space="preserve">Harbour</t>
  </si>
  <si>
    <t xml:space="preserve">Wintershall Dea: seven new countries</t>
  </si>
  <si>
    <t xml:space="preserve">Seplat</t>
  </si>
  <si>
    <t xml:space="preserve">MPNU: offshore business, same country, operated</t>
  </si>
  <si>
    <t xml:space="preserve">Tullow (disposal)</t>
  </si>
  <si>
    <t xml:space="preserve">Gabon sale</t>
  </si>
  <si>
    <t xml:space="preserve">Genel (disposal)</t>
  </si>
  <si>
    <t xml:space="preserve">Exit Taq Taq and Sarta</t>
  </si>
  <si>
    <t xml:space="preserve">Disposals shown for comparison; Tullow 2024 production includes Gabon (Raw_Data).</t>
  </si>
  <si>
    <t xml:space="preserve">Gran Tierra: 2025 G&amp;A, pro forma for the Colombia and Ecuador sale</t>
  </si>
  <si>
    <t xml:space="preserve">Source: Gran Tierra DEFM14A merger proxy, unaudited pro forma statement of operations for 2025 (p.73, note (i)). Accounting pro forma, not guidance.</t>
  </si>
  <si>
    <t xml:space="preserve">Item</t>
  </si>
  <si>
    <t xml:space="preserve">US$ thousand</t>
  </si>
  <si>
    <t xml:space="preserve">US$ million</t>
  </si>
  <si>
    <t xml:space="preserve">Note</t>
  </si>
  <si>
    <t xml:space="preserve">G&amp;A, 2025 as reported</t>
  </si>
  <si>
    <t xml:space="preserve">Historical, US GAAP</t>
  </si>
  <si>
    <t xml:space="preserve">Less: attributed to Colombia &amp; Ecuador business sold</t>
  </si>
  <si>
    <t xml:space="preserve">Allocation of shared costs per management</t>
  </si>
  <si>
    <t xml:space="preserve">G&amp;A, 2025 pro forma (retained business)</t>
  </si>
  <si>
    <t xml:space="preserve">Excludes further expected savings (note i) and extra standalone costs (note j)</t>
  </si>
  <si>
    <t xml:space="preserve">Share removed</t>
  </si>
  <si>
    <t xml:space="preserve">Retained-business revenue, 2025 pro forma</t>
  </si>
  <si>
    <t xml:space="preserve">Same 2025 basis</t>
  </si>
  <si>
    <t xml:space="preserve">Pro forma G&amp;A / revenue</t>
  </si>
  <si>
    <t xml:space="preserve">Share-based pay, H1 2026 ($m)</t>
  </si>
  <si>
    <t xml:space="preserve">Equity-plan acceleration linked to sale</t>
  </si>
  <si>
    <t xml:space="preserve">Retained production guidance, post-close (boepd)</t>
  </si>
  <si>
    <t xml:space="preserve">12,000-13,000</t>
  </si>
  <si>
    <t xml:space="preserve">Different period: not comparable with 2025 G&amp;A</t>
  </si>
  <si>
    <t xml:space="preserve">What companies disclose about their people</t>
  </si>
  <si>
    <t xml:space="preserve">Employee numbers and how they are counted. Source: company FY2025 annual reports and results.</t>
  </si>
  <si>
    <t xml:space="preserve">Employees</t>
  </si>
  <si>
    <t xml:space="preserve">Basis</t>
  </si>
  <si>
    <t xml:space="preserve">Split disclosed</t>
  </si>
  <si>
    <t xml:space="preserve">2025 average, excluding contractors</t>
  </si>
  <si>
    <t xml:space="preserve">359 in G&amp;A functions, 335 at the assets</t>
  </si>
  <si>
    <t xml:space="preserve">287 FTE (433 incl. contractors)</t>
  </si>
  <si>
    <t xml:space="preserve">2025 average</t>
  </si>
  <si>
    <t xml:space="preserve">None by function</t>
  </si>
  <si>
    <t xml:space="preserve">By location: Türkiye 28, UK 23, Somaliland 23, Kurdistan 1</t>
  </si>
  <si>
    <t xml:space="preserve">41 FTE</t>
  </si>
  <si>
    <t xml:space="preserve">UK head office 27 FTE</t>
  </si>
  <si>
    <t xml:space="preserve">2025 average, incl. 3 non-executive directors</t>
  </si>
  <si>
    <t xml:space="preserve">19 corporate staff</t>
  </si>
  <si>
    <t xml:space="preserve">Full-time, February 2026</t>
  </si>
  <si>
    <t xml:space="preserve">None</t>
  </si>
  <si>
    <t xml:space="preserve">2025 average, onshore only</t>
  </si>
  <si>
    <t xml:space="preserve">Onshore only</t>
  </si>
  <si>
    <t xml:space="preserve">Year-end 2025</t>
  </si>
  <si>
    <t xml:space="preserve">About 3,400, plus contractors</t>
  </si>
  <si>
    <t xml:space="preserve">Mid-2025</t>
  </si>
  <si>
    <t xml:space="preserve">Appendix A: what each company puts in its G&amp;A line</t>
  </si>
  <si>
    <t xml:space="preserve">What each company puts in its 2025 G&amp;A line. Source: company FY2025 annual reports and results.</t>
  </si>
  <si>
    <t xml:space="preserve">Income-statement line</t>
  </si>
  <si>
    <t xml:space="preserve">Share-based pay</t>
  </si>
  <si>
    <t xml:space="preserve">One-offs</t>
  </si>
  <si>
    <t xml:space="preserve">Gross disclosed?</t>
  </si>
  <si>
    <t xml:space="preserve">General and administrative expenses</t>
  </si>
  <si>
    <t xml:space="preserve">Total charge $44m; amount inside G&amp;A not split</t>
  </si>
  <si>
    <t xml:space="preserve">$78m deal, restructuring, reorganisation, inside</t>
  </si>
  <si>
    <t xml:space="preserve">G&amp;A</t>
  </si>
  <si>
    <t xml:space="preserve">Not disclosed for 2025</t>
  </si>
  <si>
    <t xml:space="preserve">Not quantified</t>
  </si>
  <si>
    <t xml:space="preserve">General and administrative expenses; also recurring cash G&amp;A</t>
  </si>
  <si>
    <t xml:space="preserve">$10.4m inside</t>
  </si>
  <si>
    <t xml:space="preserve">$55.1m acquisition and other, inside</t>
  </si>
  <si>
    <t xml:space="preserve">General and administrative expenses (US GAAP)</t>
  </si>
  <si>
    <t xml:space="preserve">$3.2m inside, split out</t>
  </si>
  <si>
    <t xml:space="preserve">None quantified</t>
  </si>
  <si>
    <t xml:space="preserve">General and administrative expenses; also cash G&amp;A</t>
  </si>
  <si>
    <t xml:space="preserve">$8m inside, plus $8m depreciation</t>
  </si>
  <si>
    <t xml:space="preserve">Administrative expenses</t>
  </si>
  <si>
    <t xml:space="preserve">Total charge $7.4m; split not given</t>
  </si>
  <si>
    <t xml:space="preserve">$3.8m deal and restructuring, inside</t>
  </si>
  <si>
    <t xml:space="preserve">Administrative expenses (= net G&amp;A)</t>
  </si>
  <si>
    <t xml:space="preserve">$7.2m inside, plus $4.6m depreciation</t>
  </si>
  <si>
    <t xml:space="preserve">Restructuring booked outside</t>
  </si>
  <si>
    <t xml:space="preserve">Yes: $137m</t>
  </si>
  <si>
    <t xml:space="preserve">Not split in results</t>
  </si>
  <si>
    <t xml:space="preserve">$2.2m</t>
  </si>
  <si>
    <t xml:space="preserve">$2.0m legacy costs</t>
  </si>
  <si>
    <t xml:space="preserve">Partly: cash G&amp;A $24m</t>
  </si>
  <si>
    <t xml:space="preserve">Total charge $3.5m</t>
  </si>
  <si>
    <t xml:space="preserve">$5.5m deal costs on separate line</t>
  </si>
  <si>
    <t xml:space="preserve">General and administrative costs</t>
  </si>
  <si>
    <t xml:space="preserve">$1.9m inside</t>
  </si>
  <si>
    <t xml:space="preserve">Corporate vs field-related split</t>
  </si>
  <si>
    <t xml:space="preserve">Other G&amp;A; share options on own line</t>
  </si>
  <si>
    <t xml:space="preserve">$7.0m, separate line</t>
  </si>
  <si>
    <t xml:space="preserve">Total administrative expenses, incl. pre-licence</t>
  </si>
  <si>
    <t xml:space="preserve">$1.9m</t>
  </si>
  <si>
    <t xml:space="preserve">$1.6m pre-licence, inside</t>
  </si>
  <si>
    <t xml:space="preserve">Administrative</t>
  </si>
  <si>
    <t xml:space="preserve">Separate line</t>
  </si>
  <si>
    <t xml:space="preserve">General and administration, net of capitalised</t>
  </si>
  <si>
    <t xml:space="preserve">Transaction costs on separate line</t>
  </si>
  <si>
    <t xml:space="preserve">Yes: $10.2m</t>
  </si>
  <si>
    <t xml:space="preserve">$1.6m inside</t>
  </si>
  <si>
    <t xml:space="preserve">None in 2025</t>
  </si>
  <si>
    <t xml:space="preserve">General and administration expenses, net of recharges</t>
  </si>
  <si>
    <t xml:space="preserve">Net credit; inside amount not split</t>
  </si>
  <si>
    <t xml:space="preserve">Yes: $105.1m</t>
  </si>
  <si>
    <t xml:space="preserve">Administrative expenses (sterling)</t>
  </si>
  <si>
    <t xml:space="preserve">£0.25m</t>
  </si>
  <si>
    <t xml:space="preserve">£0.2m redundancy</t>
  </si>
  <si>
    <t xml:space="preserve">FX and cyber loss on separate lines</t>
  </si>
  <si>
    <t xml:space="preserve">No single line: admin staff costs plus other expenses</t>
  </si>
  <si>
    <t xml:space="preserve">Not split</t>
  </si>
  <si>
    <t xml:space="preserve">No; $9.8m moved into production costs</t>
  </si>
  <si>
    <t xml:space="preserve">2025 not sourced</t>
  </si>
  <si>
    <t xml:space="preserve">Same size, different businesses</t>
  </si>
  <si>
    <t xml:space="preserve">Production, G&amp;A per barrel and operating footprint, 2025</t>
  </si>
  <si>
    <t xml:space="preserve">G&amp;A per barrel</t>
  </si>
  <si>
    <t xml:space="preserve">Footprint</t>
  </si>
  <si>
    <t xml:space="preserve">$0.95</t>
  </si>
  <si>
    <t xml:space="preserve">Operator; about three-quarters of output from one gas hub offshore Israel</t>
  </si>
  <si>
    <t xml:space="preserve">$5.20</t>
  </si>
  <si>
    <t xml:space="preserve">Operator in Nigeria, onshore and, since December 2024, offshore</t>
  </si>
  <si>
    <t xml:space="preserve">$1.00</t>
  </si>
  <si>
    <t xml:space="preserve">UK only; operated and non-operated hubs</t>
  </si>
  <si>
    <t xml:space="preserve">$3.60</t>
  </si>
  <si>
    <t xml:space="preserve">Operator in Colombia, Ecuador and Canada</t>
  </si>
  <si>
    <t xml:space="preserve">$0.48 net
$6.71 gross</t>
  </si>
  <si>
    <t xml:space="preserve">Operator in the UK, Malaysia and Vietnam</t>
  </si>
  <si>
    <t xml:space="preserve">$3.05 net
$9.29 gross</t>
  </si>
  <si>
    <t xml:space="preserve">Operator in Ghana; interest in Côte d'Ivoire</t>
  </si>
  <si>
    <t xml:space="preserve">$1.34</t>
  </si>
  <si>
    <t xml:space="preserve">Operator of one field in Kurdistan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</si>
</sst>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;\(#,##0.0\);\-"/>
    <numFmt numFmtId="167" formatCode="#,##0;\(#,##0\);\-"/>
    <numFmt numFmtId="168" formatCode="0%"/>
    <numFmt numFmtId="169" formatCode="0.0\x"/>
    <numFmt numFmtId="170" formatCode="\$0.00;&quot;($&quot;0.00\);\-"/>
    <numFmt numFmtId="171" formatCode="0.00"/>
    <numFmt numFmtId="172" formatCode="0.0%;\(0.0%\);\-"/>
    <numFmt numFmtId="173" formatCode="0.0%"/>
    <numFmt numFmtId="174" formatCode="#,##0"/>
    <numFmt numFmtId="175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000FF"/>
      <name val="Cambria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2"/>
    </font>
    <font>
      <u val="single"/>
      <sz val="10"/>
      <color rgb="FF0563C1"/>
      <name val="Arial"/>
      <family val="0"/>
      <charset val="1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72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70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E2EFDA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data.fca.org.uk/artefacts/NSM/RNS/d1abc513-bcc2-473c-babe-6e01494880ab.html" TargetMode="External"/><Relationship Id="rId2" Type="http://schemas.openxmlformats.org/officeDocument/2006/relationships/hyperlink" Target="https://www.sec.gov/Archives/edgar/data/1273441/000127344126000010/gte-20251231.htm" TargetMode="External"/><Relationship Id="rId3" Type="http://schemas.openxmlformats.org/officeDocument/2006/relationships/hyperlink" Target="https://www.investegate.co.uk/announcement/rns/enquest--enq/results-for-the-year-ended-31-december-2025/9490315" TargetMode="External"/><Relationship Id="rId4" Type="http://schemas.openxmlformats.org/officeDocument/2006/relationships/hyperlink" Target="https://www.investegate.co.uk/announcement/rns/serica-energy--sqz/2025-full-year-results/9492556" TargetMode="External"/><Relationship Id="rId5" Type="http://schemas.openxmlformats.org/officeDocument/2006/relationships/hyperlink" Target="https://data.fca.org.uk/artefacts/NSM/RNS/5aeceb53-96ed-46ad-8082-ca5ebcd5c70c.html" TargetMode="External"/><Relationship Id="rId6" Type="http://schemas.openxmlformats.org/officeDocument/2006/relationships/hyperlink" Target="https://stockanalysis.com/quote/lon/ITH/financials/income-statement/" TargetMode="External"/><Relationship Id="rId7" Type="http://schemas.openxmlformats.org/officeDocument/2006/relationships/hyperlink" Target="https://www.investegate.co.uk/announcement/rns/energean--enog/2025-full-year-results/9481429" TargetMode="External"/><Relationship Id="rId8" Type="http://schemas.openxmlformats.org/officeDocument/2006/relationships/hyperlink" Target="https://www.tullowoil.com/application/files/7517/7737/0156/Tullow_Oil_Plc_-_2025_FY_Report.pdf" TargetMode="External"/><Relationship Id="rId9" Type="http://schemas.openxmlformats.org/officeDocument/2006/relationships/hyperlink" Target="https://www.tullowoil.com/application/files/5717/7157/0363/Tullow_-_Trading_Statement_-_RNS.pdf" TargetMode="External"/><Relationship Id="rId10" Type="http://schemas.openxmlformats.org/officeDocument/2006/relationships/hyperlink" Target="https://stockanalysis.com/quote/lon/TLW/financials/income-statement/" TargetMode="External"/><Relationship Id="rId11" Type="http://schemas.openxmlformats.org/officeDocument/2006/relationships/hyperlink" Target="https://www.gulfkeystone.com/2025-full-year-results-announcement/" TargetMode="External"/><Relationship Id="rId12" Type="http://schemas.openxmlformats.org/officeDocument/2006/relationships/hyperlink" Target="https://www.energy-pedia.com/news/general/jadestone-energy-announces-2025-full-year-results-203965" TargetMode="External"/><Relationship Id="rId13" Type="http://schemas.openxmlformats.org/officeDocument/2006/relationships/hyperlink" Target="https://www.jadestone-energy.com/wp-content/uploads/2024/06/20250520-Jadestone-2024-Full-Year-Results-Statement-vF.pdf" TargetMode="External"/><Relationship Id="rId14" Type="http://schemas.openxmlformats.org/officeDocument/2006/relationships/hyperlink" Target="https://www.stockopedia.com/share-prices/kistos-holdings-LON:KIST/news/urn:newsml:reuters.com:20260626:nRSZ8551Ja" TargetMode="External"/><Relationship Id="rId15" Type="http://schemas.openxmlformats.org/officeDocument/2006/relationships/hyperlink" Target="https://www.ajbell.co.uk/news/articles/kistos-loss-widens-production-rate-and-prices-decline-during-2024" TargetMode="External"/><Relationship Id="rId16" Type="http://schemas.openxmlformats.org/officeDocument/2006/relationships/hyperlink" Target="https://www.pharos.energy/media/1lfppa0o/pharos-annual-report-accounts-2025-web.pdf" TargetMode="External"/><Relationship Id="rId17" Type="http://schemas.openxmlformats.org/officeDocument/2006/relationships/hyperlink" Target="https://www.pharos.energy/media/tzsd1ce1/phar-2025-preliminary-results_25032026.pdf" TargetMode="External"/><Relationship Id="rId18" Type="http://schemas.openxmlformats.org/officeDocument/2006/relationships/hyperlink" Target="https://mfn.se/all/a/gran-tierra-energy/gran-tierra-energy-inc-announces-2025-fourth-quarter-and-year-end-results-1fd36e17" TargetMode="External"/><Relationship Id="rId19" Type="http://schemas.openxmlformats.org/officeDocument/2006/relationships/hyperlink" Target="https://www.sec.gov/Archives/edgar/data/0001273441/000110465926090711/tm2622187d1_ex99-1.htm" TargetMode="External"/><Relationship Id="rId20" Type="http://schemas.openxmlformats.org/officeDocument/2006/relationships/hyperlink" Target="https://www.sec.gov/Archives/edgar/data/0001273441/000119312526419229/d26546dex991.htm" TargetMode="External"/><Relationship Id="rId21" Type="http://schemas.openxmlformats.org/officeDocument/2006/relationships/hyperlink" Target="https://www.sec.gov/Archives/edgar/data/0001273441/000127344126000029/a20260630-pressrelease.htm" TargetMode="External"/><Relationship Id="rId22" Type="http://schemas.openxmlformats.org/officeDocument/2006/relationships/hyperlink" Target="https://www.enquest.com/fileadmin/content/Annual_Reports/Annual_Report_2025/50243_EnQuest_Annual_Report_2025_Financials.pdf" TargetMode="External"/><Relationship Id="rId23" Type="http://schemas.openxmlformats.org/officeDocument/2006/relationships/hyperlink" Target="https://www.enquest.com/fileadmin/content/Annual_Reports/Annual_Report_2025/50243_EnQuest_Annual_Report_2025_Governance.pdf" TargetMode="External"/><Relationship Id="rId24" Type="http://schemas.openxmlformats.org/officeDocument/2006/relationships/hyperlink" Target="https://investors.ithacaenergy.com/sites/ithaca-ir/files/2026-03/2025-year-end-financial-results.pdf" TargetMode="External"/><Relationship Id="rId25" Type="http://schemas.openxmlformats.org/officeDocument/2006/relationships/hyperlink" Target="https://www.tullowoil.com/application/files/7517/7737/0156/Tullow_Oil_Plc_-_2025_FY_Report.pdf" TargetMode="External"/><Relationship Id="rId26" Type="http://schemas.openxmlformats.org/officeDocument/2006/relationships/hyperlink" Target="https://www.tullowoil.com/application/files/3817/7752/9096/Tullow-Oil-plc-Annual-Report-and-Accounts-2025.pdf" TargetMode="External"/><Relationship Id="rId27" Type="http://schemas.openxmlformats.org/officeDocument/2006/relationships/hyperlink" Target="https://www.investegate.co.uk/announcement/eqs/gulf-keystone-petroleum-ltd-com-shs-di---gkp/2025-full-year-results-announcement/9481598" TargetMode="External"/><Relationship Id="rId28" Type="http://schemas.openxmlformats.org/officeDocument/2006/relationships/hyperlink" Target="https://www.investegate.co.uk/announcement/rns/kistos-holdings--kist/interim-results/9771745" TargetMode="External"/><Relationship Id="rId29" Type="http://schemas.openxmlformats.org/officeDocument/2006/relationships/hyperlink" Target="https://d1io3yog0oux5.cloudfront.net/_cef0d36adf7f19b359a1f857a01b7c12/dgoc/db/556/6048/file/2025+IFRS+Financial+Statements+(FINAL).pdf" TargetMode="External"/><Relationship Id="rId30" Type="http://schemas.openxmlformats.org/officeDocument/2006/relationships/hyperlink" Target="https://www.seplatenergy.com/media/qo5pqfso/fy-2025-results-investor-presentation_260226-1.pdf" TargetMode="External"/><Relationship Id="rId31" Type="http://schemas.openxmlformats.org/officeDocument/2006/relationships/hyperlink" Target="https://www.investegate.co.uk/announcement/rns/seplat-energy-di---sepl/full-year-2024-financial-results-/8761385" TargetMode="External"/><Relationship Id="rId32" Type="http://schemas.openxmlformats.org/officeDocument/2006/relationships/hyperlink" Target="https://www.eqs-news.com/news/uk-regulatory/genel-energy-plc-audited-results-for-the-year-ended-31-december-2025/15409e74-6afa-4c64-806d-6e2f8d959e2f_en" TargetMode="External"/><Relationship Id="rId33" Type="http://schemas.openxmlformats.org/officeDocument/2006/relationships/hyperlink" Target="https://www.investegate.co.uk/announcement/rns/capricorn-energy--cne/full-year-results-announcement/9492533" TargetMode="External"/><Relationship Id="rId34" Type="http://schemas.openxmlformats.org/officeDocument/2006/relationships/hyperlink" Target="https://www.investegate.co.uk/announcement/rns/afentra--aet/fy2025-annual-results-and-corporate-update/9565884" TargetMode="External"/><Relationship Id="rId35" Type="http://schemas.openxmlformats.org/officeDocument/2006/relationships/hyperlink" Target="https://www.investegate.co.uk/announcement/rns/afentra--aet/final-results-/8843107" TargetMode="External"/><Relationship Id="rId36" Type="http://schemas.openxmlformats.org/officeDocument/2006/relationships/hyperlink" Target="https://pdf.dfcfw.com/pdf/H22_AN202603311820910473_1.pdf" TargetMode="External"/><Relationship Id="rId37" Type="http://schemas.openxmlformats.org/officeDocument/2006/relationships/hyperlink" Target="https://www.investegate.co.uk/announcement/rns/petrotal-corporation-npv-di---ptal/q4-and-full-year-2025-results/9492518" TargetMode="External"/><Relationship Id="rId38" Type="http://schemas.openxmlformats.org/officeDocument/2006/relationships/hyperlink" Target="https://www.investegate.co.uk/announcement/rns/petrotal-corporation-npv-di---ptal/q4-and-full-year-2024-results/8788034" TargetMode="External"/><Relationship Id="rId39" Type="http://schemas.openxmlformats.org/officeDocument/2006/relationships/hyperlink" Target="https://www.newsfilecorp.com/release/294750" TargetMode="External"/><Relationship Id="rId40" Type="http://schemas.openxmlformats.org/officeDocument/2006/relationships/hyperlink" Target="https://www.investegate.co.uk/announcement/rns/star-energy-group-plc--star/final-results/9542878" TargetMode="External"/><Relationship Id="rId41" Type="http://schemas.openxmlformats.org/officeDocument/2006/relationships/hyperlink" Target="https://www.investegate.co.uk/announcement/rns/zephyr-energy--zphr/final-results/9642999" TargetMode="External"/><Relationship Id="rId42" Type="http://schemas.openxmlformats.org/officeDocument/2006/relationships/hyperlink" Target="https://www.investegate.co.uk/announcement/rns/zephyr-energy--zphr/final-results/8953325" TargetMode="External"/><Relationship Id="rId43" Type="http://schemas.openxmlformats.org/officeDocument/2006/relationships/hyperlink" Target="https://www.investegate.co.uk/announcement/rns/enwell-energy--enw/2025-audited-results/9565091" TargetMode="External"/><Relationship Id="rId44" Type="http://schemas.openxmlformats.org/officeDocument/2006/relationships/hyperlink" Target="https://www.investegate.co.uk/announcement/rns/savannah-energy--save/operational-and-financial-update/979982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/>
    </row>
    <row r="5" customFormat="false" ht="15" hidden="false" customHeight="true" outlineLevel="0" collapsed="false">
      <c r="A5" s="6" t="s">
        <v>3</v>
      </c>
      <c r="B5" s="5" t="s">
        <v>4</v>
      </c>
    </row>
    <row r="6" customFormat="false" ht="23.25" hidden="false" customHeight="true" outlineLevel="0" collapsed="false">
      <c r="A6" s="6" t="s">
        <v>5</v>
      </c>
      <c r="B6" s="5" t="s">
        <v>6</v>
      </c>
    </row>
    <row r="7" customFormat="false" ht="15" hidden="false" customHeight="true" outlineLevel="0" collapsed="false">
      <c r="A7" s="6" t="s">
        <v>7</v>
      </c>
      <c r="B7" s="5" t="s">
        <v>8</v>
      </c>
    </row>
    <row r="8" customFormat="false" ht="15" hidden="false" customHeight="true" outlineLevel="0" collapsed="false">
      <c r="A8" s="6" t="s">
        <v>9</v>
      </c>
      <c r="B8" s="5" t="s">
        <v>10</v>
      </c>
    </row>
    <row r="9" customFormat="false" ht="15" hidden="false" customHeight="true" outlineLevel="0" collapsed="false">
      <c r="A9" s="6" t="s">
        <v>11</v>
      </c>
      <c r="B9" s="5" t="s">
        <v>12</v>
      </c>
    </row>
    <row r="10" customFormat="false" ht="15" hidden="false" customHeight="true" outlineLevel="0" collapsed="false">
      <c r="A10" s="6" t="s">
        <v>13</v>
      </c>
      <c r="B10" s="5" t="s">
        <v>14</v>
      </c>
    </row>
    <row r="11" customFormat="false" ht="15" hidden="false" customHeight="true" outlineLevel="0" collapsed="false">
      <c r="A11" s="4"/>
      <c r="B11" s="5"/>
    </row>
    <row r="12" customFormat="false" ht="15" hidden="false" customHeight="true" outlineLevel="0" collapsed="false">
      <c r="A12" s="4" t="s">
        <v>15</v>
      </c>
      <c r="B12" s="5"/>
    </row>
    <row r="13" customFormat="false" ht="15" hidden="false" customHeight="true" outlineLevel="0" collapsed="false">
      <c r="A13" s="7" t="s">
        <v>16</v>
      </c>
      <c r="B13" s="5" t="s">
        <v>17</v>
      </c>
    </row>
    <row r="14" customFormat="false" ht="15" hidden="false" customHeight="true" outlineLevel="0" collapsed="false">
      <c r="A14" s="6" t="s">
        <v>18</v>
      </c>
      <c r="B14" s="5" t="s">
        <v>19</v>
      </c>
    </row>
    <row r="15" customFormat="false" ht="15" hidden="false" customHeight="true" outlineLevel="0" collapsed="false">
      <c r="A15" s="8" t="s">
        <v>20</v>
      </c>
      <c r="B15" s="5" t="s">
        <v>21</v>
      </c>
    </row>
    <row r="16" customFormat="false" ht="15" hidden="false" customHeight="true" outlineLevel="0" collapsed="false">
      <c r="A16" s="6" t="s">
        <v>22</v>
      </c>
      <c r="B16" s="5" t="s">
        <v>23</v>
      </c>
    </row>
    <row r="17" customFormat="false" ht="15" hidden="false" customHeight="true" outlineLevel="0" collapsed="false">
      <c r="A17" s="4"/>
      <c r="B17" s="5"/>
    </row>
    <row r="18" customFormat="false" ht="68.25" hidden="false" customHeight="true" outlineLevel="0" collapsed="false">
      <c r="A18" s="4" t="s">
        <v>24</v>
      </c>
      <c r="B18" s="5" t="s">
        <v>25</v>
      </c>
    </row>
    <row r="19" customFormat="false" ht="23.25" hidden="false" customHeight="true" outlineLevel="0" collapsed="false">
      <c r="A19" s="6"/>
      <c r="B19" s="5"/>
    </row>
    <row r="21" customFormat="false" ht="15" hidden="false" customHeight="true" outlineLevel="0" collapsed="false">
      <c r="A21" s="1" t="s">
        <v>26</v>
      </c>
    </row>
    <row r="22" customFormat="false" ht="15" hidden="false" customHeight="false" outlineLevel="0" collapsed="false">
      <c r="A22" s="1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0"/>
    <col collapsed="false" customWidth="true" hidden="false" outlineLevel="0" max="3" min="3" style="1" width="8"/>
    <col collapsed="false" customWidth="true" hidden="false" outlineLevel="0" max="4" min="4" style="1" width="7"/>
    <col collapsed="false" customWidth="true" hidden="false" outlineLevel="0" max="5" min="5" style="1" width="8"/>
    <col collapsed="false" customWidth="true" hidden="false" outlineLevel="0" max="6" min="6" style="1" width="11"/>
    <col collapsed="false" customWidth="true" hidden="false" outlineLevel="0" max="7" min="7" style="1" width="28"/>
    <col collapsed="false" customWidth="true" hidden="false" outlineLevel="0" max="9" min="8" style="1" width="10"/>
    <col collapsed="false" customWidth="true" hidden="false" outlineLevel="0" max="10" min="10" style="1" width="11"/>
    <col collapsed="false" customWidth="true" hidden="false" outlineLevel="0" max="11" min="11" style="1" width="12"/>
    <col collapsed="false" customWidth="true" hidden="false" outlineLevel="0" max="12" min="12" style="1" width="22"/>
    <col collapsed="false" customWidth="true" hidden="false" outlineLevel="0" max="13" min="13" style="1" width="10"/>
    <col collapsed="false" customWidth="true" hidden="false" outlineLevel="0" max="15" min="14" style="1" width="11"/>
    <col collapsed="false" customWidth="true" hidden="false" outlineLevel="0" max="16" min="16" style="1" width="10"/>
    <col collapsed="false" customWidth="true" hidden="false" outlineLevel="0" max="17" min="17" style="1" width="11"/>
    <col collapsed="false" customWidth="true" hidden="false" outlineLevel="0" max="18" min="18" style="1" width="10"/>
    <col collapsed="false" customWidth="true" hidden="false" outlineLevel="0" max="19" min="19" style="1" width="12"/>
    <col collapsed="false" customWidth="true" hidden="false" outlineLevel="0" max="20" min="20" style="1" width="40"/>
    <col collapsed="false" customWidth="true" hidden="false" outlineLevel="0" max="21" min="21" style="1" width="60"/>
  </cols>
  <sheetData>
    <row r="1" customFormat="false" ht="17.25" hidden="false" customHeight="true" outlineLevel="0" collapsed="false">
      <c r="A1" s="2" t="s">
        <v>28</v>
      </c>
    </row>
    <row r="2" customFormat="false" ht="15" hidden="false" customHeight="true" outlineLevel="0" collapsed="false">
      <c r="A2" s="3" t="s">
        <v>29</v>
      </c>
    </row>
    <row r="4" customFormat="false" ht="42" hidden="false" customHeight="true" outlineLevel="0" collapsed="false">
      <c r="A4" s="9" t="s">
        <v>30</v>
      </c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43</v>
      </c>
      <c r="O4" s="9" t="s">
        <v>44</v>
      </c>
      <c r="P4" s="9" t="s">
        <v>45</v>
      </c>
      <c r="Q4" s="9" t="s">
        <v>46</v>
      </c>
      <c r="R4" s="9" t="s">
        <v>47</v>
      </c>
      <c r="S4" s="9" t="s">
        <v>48</v>
      </c>
      <c r="T4" s="9" t="s">
        <v>49</v>
      </c>
      <c r="U4" s="9" t="s">
        <v>50</v>
      </c>
    </row>
    <row r="5" customFormat="false" ht="45.75" hidden="false" customHeight="true" outlineLevel="0" collapsed="false">
      <c r="A5" s="10" t="str">
        <f aca="false">B5&amp;"|"&amp;D5</f>
        <v>Harbour Energy|2025</v>
      </c>
      <c r="B5" s="11" t="s">
        <v>51</v>
      </c>
      <c r="C5" s="11" t="s">
        <v>52</v>
      </c>
      <c r="D5" s="12" t="s">
        <v>53</v>
      </c>
      <c r="E5" s="13" t="s">
        <v>54</v>
      </c>
      <c r="F5" s="14" t="n">
        <v>536</v>
      </c>
      <c r="G5" s="15" t="s">
        <v>55</v>
      </c>
      <c r="H5" s="14" t="n">
        <v>44</v>
      </c>
      <c r="I5" s="14" t="n">
        <v>78</v>
      </c>
      <c r="J5" s="14"/>
      <c r="K5" s="16" t="n">
        <v>474000</v>
      </c>
      <c r="L5" s="15" t="s">
        <v>56</v>
      </c>
      <c r="M5" s="14" t="n">
        <v>10261</v>
      </c>
      <c r="N5" s="14" t="n">
        <v>7196</v>
      </c>
      <c r="O5" s="14" t="n">
        <v>3386</v>
      </c>
      <c r="P5" s="14" t="n">
        <v>1066</v>
      </c>
      <c r="Q5" s="14" t="n">
        <v>4305</v>
      </c>
      <c r="R5" s="17" t="n">
        <v>2912</v>
      </c>
      <c r="S5" s="13" t="s">
        <v>57</v>
      </c>
      <c r="T5" s="15" t="s">
        <v>58</v>
      </c>
      <c r="U5" s="15" t="s">
        <v>59</v>
      </c>
    </row>
    <row r="6" customFormat="false" ht="23.25" hidden="false" customHeight="true" outlineLevel="0" collapsed="false">
      <c r="A6" s="6" t="str">
        <f aca="false">B6&amp;"|"&amp;D6</f>
        <v>Harbour Energy|2024</v>
      </c>
      <c r="B6" s="18" t="s">
        <v>51</v>
      </c>
      <c r="C6" s="18" t="s">
        <v>52</v>
      </c>
      <c r="D6" s="19" t="s">
        <v>60</v>
      </c>
      <c r="E6" s="20" t="s">
        <v>54</v>
      </c>
      <c r="F6" s="21" t="n">
        <v>352</v>
      </c>
      <c r="G6" s="22" t="s">
        <v>55</v>
      </c>
      <c r="H6" s="21" t="n">
        <v>48</v>
      </c>
      <c r="I6" s="21" t="n">
        <v>119</v>
      </c>
      <c r="J6" s="21"/>
      <c r="K6" s="23" t="n">
        <v>258000</v>
      </c>
      <c r="L6" s="22" t="s">
        <v>56</v>
      </c>
      <c r="M6" s="21" t="n">
        <v>6226</v>
      </c>
      <c r="N6" s="21" t="n">
        <v>4146</v>
      </c>
      <c r="O6" s="21" t="n">
        <v>1615</v>
      </c>
      <c r="P6" s="21" t="n">
        <v>-118</v>
      </c>
      <c r="Q6" s="21" t="n">
        <v>4424</v>
      </c>
      <c r="R6" s="17" t="n">
        <v>2159</v>
      </c>
      <c r="S6" s="20" t="s">
        <v>61</v>
      </c>
      <c r="T6" s="22" t="s">
        <v>58</v>
      </c>
      <c r="U6" s="22" t="s">
        <v>62</v>
      </c>
    </row>
    <row r="7" customFormat="false" ht="34.5" hidden="false" customHeight="true" outlineLevel="0" collapsed="false">
      <c r="A7" s="6" t="str">
        <f aca="false">B7&amp;"|"&amp;D7</f>
        <v>Gran Tierra Energy|2025</v>
      </c>
      <c r="B7" s="18" t="s">
        <v>63</v>
      </c>
      <c r="C7" s="18" t="s">
        <v>64</v>
      </c>
      <c r="D7" s="19" t="s">
        <v>53</v>
      </c>
      <c r="E7" s="20" t="s">
        <v>65</v>
      </c>
      <c r="F7" s="21" t="n">
        <v>60.087</v>
      </c>
      <c r="G7" s="22" t="s">
        <v>66</v>
      </c>
      <c r="H7" s="21" t="n">
        <v>3.214</v>
      </c>
      <c r="I7" s="21"/>
      <c r="J7" s="21"/>
      <c r="K7" s="23" t="n">
        <v>45709</v>
      </c>
      <c r="L7" s="22" t="s">
        <v>67</v>
      </c>
      <c r="M7" s="21" t="n">
        <v>596.713</v>
      </c>
      <c r="N7" s="21" t="n">
        <v>283.656</v>
      </c>
      <c r="O7" s="21" t="n">
        <v>313.249</v>
      </c>
      <c r="P7" s="21" t="n">
        <v>-78.515</v>
      </c>
      <c r="Q7" s="21" t="n">
        <v>658</v>
      </c>
      <c r="R7" s="23" t="n">
        <v>406</v>
      </c>
      <c r="S7" s="20" t="s">
        <v>61</v>
      </c>
      <c r="T7" s="22" t="s">
        <v>68</v>
      </c>
      <c r="U7" s="22" t="s">
        <v>69</v>
      </c>
    </row>
    <row r="8" customFormat="false" ht="34.5" hidden="false" customHeight="true" outlineLevel="0" collapsed="false">
      <c r="A8" s="6" t="str">
        <f aca="false">B8&amp;"|"&amp;D8</f>
        <v>Gran Tierra Energy|2024</v>
      </c>
      <c r="B8" s="18" t="s">
        <v>63</v>
      </c>
      <c r="C8" s="18" t="s">
        <v>64</v>
      </c>
      <c r="D8" s="19" t="s">
        <v>60</v>
      </c>
      <c r="E8" s="20" t="s">
        <v>65</v>
      </c>
      <c r="F8" s="21" t="n">
        <v>51.138</v>
      </c>
      <c r="G8" s="22" t="s">
        <v>66</v>
      </c>
      <c r="H8" s="21" t="n">
        <v>9.707</v>
      </c>
      <c r="I8" s="21"/>
      <c r="J8" s="21"/>
      <c r="K8" s="23" t="n">
        <v>34710</v>
      </c>
      <c r="L8" s="22" t="s">
        <v>67</v>
      </c>
      <c r="M8" s="21" t="n">
        <v>621.849</v>
      </c>
      <c r="N8" s="21" t="n">
        <v>366.758</v>
      </c>
      <c r="O8" s="21" t="n">
        <v>239.321</v>
      </c>
      <c r="P8" s="21" t="n">
        <v>-23.162</v>
      </c>
      <c r="Q8" s="21" t="n">
        <v>683</v>
      </c>
      <c r="R8" s="23" t="n">
        <v>431</v>
      </c>
      <c r="S8" s="20" t="s">
        <v>61</v>
      </c>
      <c r="T8" s="22" t="s">
        <v>68</v>
      </c>
      <c r="U8" s="22" t="s">
        <v>70</v>
      </c>
    </row>
    <row r="9" customFormat="false" ht="45.75" hidden="false" customHeight="true" outlineLevel="0" collapsed="false">
      <c r="A9" s="6" t="str">
        <f aca="false">B9&amp;"|"&amp;D9</f>
        <v>EnQuest|2025</v>
      </c>
      <c r="B9" s="18" t="s">
        <v>71</v>
      </c>
      <c r="C9" s="18" t="s">
        <v>72</v>
      </c>
      <c r="D9" s="19" t="s">
        <v>53</v>
      </c>
      <c r="E9" s="20" t="s">
        <v>54</v>
      </c>
      <c r="F9" s="21" t="n">
        <v>7.482</v>
      </c>
      <c r="G9" s="22" t="s">
        <v>73</v>
      </c>
      <c r="H9" s="21"/>
      <c r="I9" s="21"/>
      <c r="J9" s="21" t="n">
        <v>105.122</v>
      </c>
      <c r="K9" s="23" t="n">
        <v>42945</v>
      </c>
      <c r="L9" s="22" t="s">
        <v>74</v>
      </c>
      <c r="M9" s="21" t="n">
        <v>1118.3</v>
      </c>
      <c r="N9" s="21" t="n">
        <v>503.8</v>
      </c>
      <c r="O9" s="21" t="n">
        <v>362.7</v>
      </c>
      <c r="P9" s="21" t="n">
        <v>8.7</v>
      </c>
      <c r="Q9" s="21" t="n">
        <v>433.9</v>
      </c>
      <c r="R9" s="23" t="n">
        <v>694</v>
      </c>
      <c r="S9" s="20" t="s">
        <v>75</v>
      </c>
      <c r="T9" s="22" t="s">
        <v>76</v>
      </c>
      <c r="U9" s="22" t="s">
        <v>77</v>
      </c>
    </row>
    <row r="10" customFormat="false" ht="45.75" hidden="false" customHeight="true" outlineLevel="0" collapsed="false">
      <c r="A10" s="6" t="str">
        <f aca="false">B10&amp;"|"&amp;D10</f>
        <v>EnQuest|2024</v>
      </c>
      <c r="B10" s="18" t="s">
        <v>71</v>
      </c>
      <c r="C10" s="18" t="s">
        <v>72</v>
      </c>
      <c r="D10" s="19" t="s">
        <v>60</v>
      </c>
      <c r="E10" s="20" t="s">
        <v>54</v>
      </c>
      <c r="F10" s="21" t="n">
        <v>5.702</v>
      </c>
      <c r="G10" s="22" t="s">
        <v>78</v>
      </c>
      <c r="H10" s="21" t="n">
        <v>0.983</v>
      </c>
      <c r="I10" s="21"/>
      <c r="J10" s="21" t="n">
        <v>108.621</v>
      </c>
      <c r="K10" s="23" t="n">
        <v>40736</v>
      </c>
      <c r="L10" s="22" t="s">
        <v>79</v>
      </c>
      <c r="M10" s="21" t="n">
        <v>1180.7</v>
      </c>
      <c r="N10" s="21" t="n">
        <v>673.9</v>
      </c>
      <c r="O10" s="21" t="n">
        <v>507.6</v>
      </c>
      <c r="P10" s="21" t="n">
        <v>53.2</v>
      </c>
      <c r="Q10" s="21" t="n">
        <v>385.8</v>
      </c>
      <c r="R10" s="23" t="n">
        <v>673</v>
      </c>
      <c r="S10" s="20" t="s">
        <v>61</v>
      </c>
      <c r="T10" s="22" t="s">
        <v>76</v>
      </c>
      <c r="U10" s="22" t="s">
        <v>80</v>
      </c>
    </row>
    <row r="11" customFormat="false" ht="45.75" hidden="false" customHeight="true" outlineLevel="0" collapsed="false">
      <c r="A11" s="6" t="str">
        <f aca="false">B11&amp;"|"&amp;D11</f>
        <v>Serica Energy|2025</v>
      </c>
      <c r="B11" s="18" t="s">
        <v>81</v>
      </c>
      <c r="C11" s="18" t="s">
        <v>82</v>
      </c>
      <c r="D11" s="19" t="s">
        <v>53</v>
      </c>
      <c r="E11" s="20" t="s">
        <v>54</v>
      </c>
      <c r="F11" s="21" t="n">
        <v>23.075</v>
      </c>
      <c r="G11" s="22" t="s">
        <v>55</v>
      </c>
      <c r="H11" s="21" t="n">
        <v>3.523</v>
      </c>
      <c r="I11" s="21"/>
      <c r="J11" s="21"/>
      <c r="K11" s="23" t="n">
        <v>27600</v>
      </c>
      <c r="L11" s="22" t="s">
        <v>56</v>
      </c>
      <c r="M11" s="21" t="n">
        <v>601</v>
      </c>
      <c r="N11" s="21" t="n">
        <v>210</v>
      </c>
      <c r="O11" s="21" t="n">
        <v>242.2</v>
      </c>
      <c r="P11" s="21" t="n">
        <v>-24</v>
      </c>
      <c r="Q11" s="21" t="n">
        <v>200</v>
      </c>
      <c r="R11" s="23" t="n">
        <v>242</v>
      </c>
      <c r="S11" s="20" t="s">
        <v>57</v>
      </c>
      <c r="T11" s="22" t="s">
        <v>83</v>
      </c>
      <c r="U11" s="22" t="s">
        <v>84</v>
      </c>
    </row>
    <row r="12" customFormat="false" ht="34.5" hidden="false" customHeight="true" outlineLevel="0" collapsed="false">
      <c r="A12" s="6" t="str">
        <f aca="false">B12&amp;"|"&amp;D12</f>
        <v>Serica Energy|2024</v>
      </c>
      <c r="B12" s="18" t="s">
        <v>81</v>
      </c>
      <c r="C12" s="18" t="s">
        <v>82</v>
      </c>
      <c r="D12" s="19" t="s">
        <v>60</v>
      </c>
      <c r="E12" s="20" t="s">
        <v>54</v>
      </c>
      <c r="F12" s="21" t="n">
        <v>21.601</v>
      </c>
      <c r="G12" s="22" t="s">
        <v>55</v>
      </c>
      <c r="H12" s="21" t="n">
        <v>3.735</v>
      </c>
      <c r="I12" s="21"/>
      <c r="J12" s="21"/>
      <c r="K12" s="23" t="n">
        <v>34600</v>
      </c>
      <c r="L12" s="22" t="s">
        <v>56</v>
      </c>
      <c r="M12" s="21" t="n">
        <v>727</v>
      </c>
      <c r="N12" s="21" t="n">
        <v>379</v>
      </c>
      <c r="O12" s="21" t="n">
        <v>281.6</v>
      </c>
      <c r="P12" s="21" t="n">
        <v>-1</v>
      </c>
      <c r="Q12" s="21" t="n">
        <v>83</v>
      </c>
      <c r="R12" s="17" t="n">
        <v>222</v>
      </c>
      <c r="S12" s="20" t="s">
        <v>61</v>
      </c>
      <c r="T12" s="22" t="s">
        <v>83</v>
      </c>
      <c r="U12" s="22" t="s">
        <v>85</v>
      </c>
    </row>
    <row r="13" customFormat="false" ht="34.5" hidden="false" customHeight="true" outlineLevel="0" collapsed="false">
      <c r="A13" s="6" t="str">
        <f aca="false">B13&amp;"|"&amp;D13</f>
        <v>Ithaca Energy|2025</v>
      </c>
      <c r="B13" s="18" t="s">
        <v>86</v>
      </c>
      <c r="C13" s="18" t="s">
        <v>87</v>
      </c>
      <c r="D13" s="19" t="s">
        <v>53</v>
      </c>
      <c r="E13" s="20" t="s">
        <v>54</v>
      </c>
      <c r="F13" s="21" t="n">
        <v>47.3</v>
      </c>
      <c r="G13" s="22" t="s">
        <v>88</v>
      </c>
      <c r="H13" s="21" t="n">
        <v>7.4</v>
      </c>
      <c r="I13" s="21" t="n">
        <v>3.8</v>
      </c>
      <c r="J13" s="21"/>
      <c r="K13" s="23" t="n">
        <v>119000</v>
      </c>
      <c r="L13" s="22" t="s">
        <v>56</v>
      </c>
      <c r="M13" s="21" t="n">
        <v>2900.2</v>
      </c>
      <c r="N13" s="21" t="n">
        <v>2030.8</v>
      </c>
      <c r="O13" s="21" t="n">
        <v>1745.3</v>
      </c>
      <c r="P13" s="21" t="n">
        <v>683.3</v>
      </c>
      <c r="Q13" s="21"/>
      <c r="R13" s="17" t="n">
        <v>798</v>
      </c>
      <c r="S13" s="20" t="s">
        <v>89</v>
      </c>
      <c r="T13" s="22" t="s">
        <v>90</v>
      </c>
      <c r="U13" s="22" t="s">
        <v>91</v>
      </c>
    </row>
    <row r="14" customFormat="false" ht="34.5" hidden="false" customHeight="true" outlineLevel="0" collapsed="false">
      <c r="A14" s="6" t="str">
        <f aca="false">B14&amp;"|"&amp;D14</f>
        <v>Ithaca Energy|2024</v>
      </c>
      <c r="B14" s="18" t="s">
        <v>86</v>
      </c>
      <c r="C14" s="18" t="s">
        <v>87</v>
      </c>
      <c r="D14" s="19" t="s">
        <v>60</v>
      </c>
      <c r="E14" s="20" t="s">
        <v>54</v>
      </c>
      <c r="F14" s="21" t="n">
        <v>57.3</v>
      </c>
      <c r="G14" s="22" t="s">
        <v>88</v>
      </c>
      <c r="H14" s="21" t="n">
        <v>6.1</v>
      </c>
      <c r="I14" s="21" t="n">
        <v>16.3</v>
      </c>
      <c r="J14" s="21"/>
      <c r="K14" s="23" t="n">
        <v>80000</v>
      </c>
      <c r="L14" s="22" t="s">
        <v>56</v>
      </c>
      <c r="M14" s="21" t="n">
        <v>1981.8</v>
      </c>
      <c r="N14" s="21" t="n">
        <v>1405</v>
      </c>
      <c r="O14" s="21" t="n">
        <v>853.3</v>
      </c>
      <c r="P14" s="21" t="n">
        <v>260.8</v>
      </c>
      <c r="Q14" s="21" t="n">
        <v>884.9</v>
      </c>
      <c r="R14" s="17" t="n">
        <v>701</v>
      </c>
      <c r="S14" s="20" t="s">
        <v>61</v>
      </c>
      <c r="T14" s="22" t="s">
        <v>90</v>
      </c>
      <c r="U14" s="22" t="s">
        <v>92</v>
      </c>
    </row>
    <row r="15" customFormat="false" ht="34.5" hidden="false" customHeight="true" outlineLevel="0" collapsed="false">
      <c r="A15" s="6" t="str">
        <f aca="false">B15&amp;"|"&amp;D15</f>
        <v>Energean|2025</v>
      </c>
      <c r="B15" s="18" t="s">
        <v>93</v>
      </c>
      <c r="C15" s="18" t="s">
        <v>94</v>
      </c>
      <c r="D15" s="19" t="s">
        <v>53</v>
      </c>
      <c r="E15" s="20" t="s">
        <v>54</v>
      </c>
      <c r="F15" s="21" t="n">
        <v>53.638</v>
      </c>
      <c r="G15" s="22" t="s">
        <v>55</v>
      </c>
      <c r="H15" s="21" t="n">
        <v>8</v>
      </c>
      <c r="I15" s="21"/>
      <c r="J15" s="21"/>
      <c r="K15" s="23" t="n">
        <v>154000</v>
      </c>
      <c r="L15" s="22" t="s">
        <v>95</v>
      </c>
      <c r="M15" s="21" t="n">
        <v>1728.126</v>
      </c>
      <c r="N15" s="21" t="n">
        <v>1117</v>
      </c>
      <c r="O15" s="21" t="n">
        <v>1143.58</v>
      </c>
      <c r="P15" s="21"/>
      <c r="Q15" s="21" t="n">
        <v>3255</v>
      </c>
      <c r="R15" s="17" t="n">
        <v>601</v>
      </c>
      <c r="S15" s="20" t="s">
        <v>61</v>
      </c>
      <c r="T15" s="22" t="s">
        <v>96</v>
      </c>
      <c r="U15" s="22" t="s">
        <v>97</v>
      </c>
    </row>
    <row r="16" customFormat="false" ht="34.5" hidden="false" customHeight="true" outlineLevel="0" collapsed="false">
      <c r="A16" s="6" t="str">
        <f aca="false">B16&amp;"|"&amp;D16</f>
        <v>Energean|2024</v>
      </c>
      <c r="B16" s="18" t="s">
        <v>93</v>
      </c>
      <c r="C16" s="18" t="s">
        <v>94</v>
      </c>
      <c r="D16" s="19" t="s">
        <v>60</v>
      </c>
      <c r="E16" s="20" t="s">
        <v>54</v>
      </c>
      <c r="F16" s="21" t="n">
        <v>50.98</v>
      </c>
      <c r="G16" s="22" t="s">
        <v>55</v>
      </c>
      <c r="H16" s="21" t="n">
        <v>8</v>
      </c>
      <c r="I16" s="21"/>
      <c r="J16" s="21"/>
      <c r="K16" s="23" t="n">
        <v>153000</v>
      </c>
      <c r="L16" s="22" t="s">
        <v>95</v>
      </c>
      <c r="M16" s="21" t="n">
        <v>1779.413</v>
      </c>
      <c r="N16" s="21" t="n">
        <v>1162</v>
      </c>
      <c r="O16" s="21" t="n">
        <v>1121.767</v>
      </c>
      <c r="P16" s="21"/>
      <c r="Q16" s="21" t="n">
        <v>2949</v>
      </c>
      <c r="R16" s="17" t="n">
        <v>594</v>
      </c>
      <c r="S16" s="20" t="s">
        <v>61</v>
      </c>
      <c r="T16" s="22" t="s">
        <v>96</v>
      </c>
      <c r="U16" s="22" t="s">
        <v>98</v>
      </c>
    </row>
    <row r="17" customFormat="false" ht="45.75" hidden="false" customHeight="true" outlineLevel="0" collapsed="false">
      <c r="A17" s="6" t="str">
        <f aca="false">B17&amp;"|"&amp;D17</f>
        <v>Tullow Oil|2025</v>
      </c>
      <c r="B17" s="18" t="s">
        <v>99</v>
      </c>
      <c r="C17" s="18" t="s">
        <v>100</v>
      </c>
      <c r="D17" s="19" t="s">
        <v>53</v>
      </c>
      <c r="E17" s="20" t="s">
        <v>54</v>
      </c>
      <c r="F17" s="21" t="n">
        <v>45</v>
      </c>
      <c r="G17" s="22" t="s">
        <v>101</v>
      </c>
      <c r="H17" s="21" t="n">
        <v>7.2</v>
      </c>
      <c r="I17" s="21"/>
      <c r="J17" s="21" t="n">
        <v>137</v>
      </c>
      <c r="K17" s="23" t="n">
        <v>40400</v>
      </c>
      <c r="L17" s="22" t="s">
        <v>56</v>
      </c>
      <c r="M17" s="21" t="n">
        <v>847</v>
      </c>
      <c r="N17" s="21" t="n">
        <v>586</v>
      </c>
      <c r="O17" s="21" t="n">
        <v>334.3</v>
      </c>
      <c r="P17" s="21" t="n">
        <v>99</v>
      </c>
      <c r="Q17" s="21" t="n">
        <v>1353</v>
      </c>
      <c r="R17" s="17" t="n">
        <v>346</v>
      </c>
      <c r="S17" s="20" t="s">
        <v>61</v>
      </c>
      <c r="T17" s="22" t="s">
        <v>102</v>
      </c>
      <c r="U17" s="22" t="s">
        <v>103</v>
      </c>
    </row>
    <row r="18" customFormat="false" ht="34.5" hidden="false" customHeight="true" outlineLevel="0" collapsed="false">
      <c r="A18" s="6" t="str">
        <f aca="false">B18&amp;"|"&amp;D18</f>
        <v>Tullow Oil|2024</v>
      </c>
      <c r="B18" s="18" t="s">
        <v>99</v>
      </c>
      <c r="C18" s="18" t="s">
        <v>100</v>
      </c>
      <c r="D18" s="19" t="s">
        <v>60</v>
      </c>
      <c r="E18" s="20" t="s">
        <v>54</v>
      </c>
      <c r="F18" s="21" t="n">
        <v>52.2</v>
      </c>
      <c r="G18" s="22" t="s">
        <v>101</v>
      </c>
      <c r="H18" s="21" t="n">
        <v>6.5</v>
      </c>
      <c r="I18" s="21"/>
      <c r="J18" s="21"/>
      <c r="K18" s="23" t="n">
        <v>51500</v>
      </c>
      <c r="L18" s="22" t="s">
        <v>104</v>
      </c>
      <c r="M18" s="21" t="n">
        <v>1287</v>
      </c>
      <c r="N18" s="21" t="n">
        <v>1008</v>
      </c>
      <c r="O18" s="21" t="n">
        <v>758.5</v>
      </c>
      <c r="P18" s="21" t="n">
        <v>156</v>
      </c>
      <c r="Q18" s="21" t="n">
        <v>1452</v>
      </c>
      <c r="R18" s="17" t="n">
        <v>402</v>
      </c>
      <c r="S18" s="20" t="s">
        <v>61</v>
      </c>
      <c r="T18" s="22" t="s">
        <v>102</v>
      </c>
      <c r="U18" s="22" t="s">
        <v>105</v>
      </c>
    </row>
    <row r="19" customFormat="false" ht="45.75" hidden="false" customHeight="true" outlineLevel="0" collapsed="false">
      <c r="A19" s="6" t="str">
        <f aca="false">B19&amp;"|"&amp;D19</f>
        <v>Gulf Keystone|2025</v>
      </c>
      <c r="B19" s="18" t="s">
        <v>106</v>
      </c>
      <c r="C19" s="18" t="s">
        <v>107</v>
      </c>
      <c r="D19" s="19" t="s">
        <v>53</v>
      </c>
      <c r="E19" s="20" t="s">
        <v>54</v>
      </c>
      <c r="F19" s="21" t="n">
        <v>16.272</v>
      </c>
      <c r="G19" s="22" t="s">
        <v>108</v>
      </c>
      <c r="H19" s="21" t="n">
        <v>6.959</v>
      </c>
      <c r="I19" s="21"/>
      <c r="J19" s="21"/>
      <c r="K19" s="23" t="n">
        <f aca="false">41560*0.8</f>
        <v>33248</v>
      </c>
      <c r="L19" s="22" t="s">
        <v>109</v>
      </c>
      <c r="M19" s="21" t="n">
        <v>164.8</v>
      </c>
      <c r="N19" s="21" t="n">
        <v>111.4</v>
      </c>
      <c r="O19" s="21" t="n">
        <v>63.096</v>
      </c>
      <c r="P19" s="21" t="n">
        <v>29.1</v>
      </c>
      <c r="Q19" s="21" t="n">
        <v>-78.2</v>
      </c>
      <c r="R19" s="23" t="n">
        <v>433</v>
      </c>
      <c r="S19" s="20" t="s">
        <v>110</v>
      </c>
      <c r="T19" s="22" t="s">
        <v>111</v>
      </c>
      <c r="U19" s="22" t="s">
        <v>112</v>
      </c>
    </row>
    <row r="20" customFormat="false" ht="45.75" hidden="false" customHeight="true" outlineLevel="0" collapsed="false">
      <c r="A20" s="6" t="str">
        <f aca="false">B20&amp;"|"&amp;D20</f>
        <v>Gulf Keystone|2024</v>
      </c>
      <c r="B20" s="18" t="s">
        <v>106</v>
      </c>
      <c r="C20" s="18" t="s">
        <v>107</v>
      </c>
      <c r="D20" s="19" t="s">
        <v>60</v>
      </c>
      <c r="E20" s="20" t="s">
        <v>54</v>
      </c>
      <c r="F20" s="21" t="n">
        <v>15.831</v>
      </c>
      <c r="G20" s="22" t="s">
        <v>113</v>
      </c>
      <c r="H20" s="21" t="n">
        <v>4.419</v>
      </c>
      <c r="I20" s="21"/>
      <c r="J20" s="21"/>
      <c r="K20" s="23" t="n">
        <f aca="false">40689*0.8</f>
        <v>32551.2</v>
      </c>
      <c r="L20" s="22" t="s">
        <v>114</v>
      </c>
      <c r="M20" s="21" t="n">
        <v>151.2</v>
      </c>
      <c r="N20" s="21" t="n">
        <v>76.1</v>
      </c>
      <c r="O20" s="21" t="n">
        <v>93.543</v>
      </c>
      <c r="P20" s="21"/>
      <c r="Q20" s="21" t="n">
        <v>-102.3</v>
      </c>
      <c r="R20" s="23" t="n">
        <v>411</v>
      </c>
      <c r="S20" s="20" t="s">
        <v>115</v>
      </c>
      <c r="T20" s="22" t="s">
        <v>111</v>
      </c>
      <c r="U20" s="22" t="s">
        <v>116</v>
      </c>
    </row>
    <row r="21" customFormat="false" ht="45.75" hidden="false" customHeight="true" outlineLevel="0" collapsed="false">
      <c r="A21" s="6" t="str">
        <f aca="false">B21&amp;"|"&amp;D21</f>
        <v>Jadestone Energy|2025</v>
      </c>
      <c r="B21" s="18" t="s">
        <v>117</v>
      </c>
      <c r="C21" s="18" t="s">
        <v>118</v>
      </c>
      <c r="D21" s="19" t="s">
        <v>53</v>
      </c>
      <c r="E21" s="20" t="s">
        <v>54</v>
      </c>
      <c r="F21" s="21" t="n">
        <v>23.781</v>
      </c>
      <c r="G21" s="22" t="s">
        <v>119</v>
      </c>
      <c r="H21" s="21"/>
      <c r="I21" s="21"/>
      <c r="J21" s="21"/>
      <c r="K21" s="23" t="n">
        <v>19829</v>
      </c>
      <c r="L21" s="22" t="s">
        <v>56</v>
      </c>
      <c r="M21" s="21" t="n">
        <v>408.1</v>
      </c>
      <c r="N21" s="21" t="n">
        <v>153</v>
      </c>
      <c r="O21" s="21" t="n">
        <v>91.386</v>
      </c>
      <c r="P21" s="21"/>
      <c r="Q21" s="21" t="n">
        <v>89.1</v>
      </c>
      <c r="R21" s="17" t="n">
        <v>421</v>
      </c>
      <c r="S21" s="20" t="s">
        <v>120</v>
      </c>
      <c r="T21" s="22" t="s">
        <v>121</v>
      </c>
      <c r="U21" s="22" t="s">
        <v>122</v>
      </c>
    </row>
    <row r="22" customFormat="false" ht="34.5" hidden="false" customHeight="true" outlineLevel="0" collapsed="false">
      <c r="A22" s="6" t="str">
        <f aca="false">B22&amp;"|"&amp;D22</f>
        <v>Jadestone Energy|2024</v>
      </c>
      <c r="B22" s="18" t="s">
        <v>117</v>
      </c>
      <c r="C22" s="18" t="s">
        <v>118</v>
      </c>
      <c r="D22" s="19" t="s">
        <v>60</v>
      </c>
      <c r="E22" s="20" t="s">
        <v>54</v>
      </c>
      <c r="F22" s="21" t="n">
        <v>24.606</v>
      </c>
      <c r="G22" s="22" t="s">
        <v>123</v>
      </c>
      <c r="H22" s="21"/>
      <c r="I22" s="21"/>
      <c r="J22" s="21"/>
      <c r="K22" s="23" t="n">
        <v>18696</v>
      </c>
      <c r="L22" s="22" t="s">
        <v>56</v>
      </c>
      <c r="M22" s="21" t="n">
        <v>395</v>
      </c>
      <c r="N22" s="21" t="n">
        <v>127.9</v>
      </c>
      <c r="O22" s="21" t="n">
        <v>-30.663</v>
      </c>
      <c r="P22" s="21"/>
      <c r="Q22" s="21" t="n">
        <v>104.8</v>
      </c>
      <c r="R22" s="17" t="n">
        <v>422</v>
      </c>
      <c r="S22" s="20" t="s">
        <v>120</v>
      </c>
      <c r="T22" s="22" t="s">
        <v>124</v>
      </c>
      <c r="U22" s="22" t="s">
        <v>125</v>
      </c>
    </row>
    <row r="23" customFormat="false" ht="34.5" hidden="false" customHeight="true" outlineLevel="0" collapsed="false">
      <c r="A23" s="6" t="str">
        <f aca="false">B23&amp;"|"&amp;D23</f>
        <v>Kistos|2025</v>
      </c>
      <c r="B23" s="18" t="s">
        <v>126</v>
      </c>
      <c r="C23" s="18" t="s">
        <v>127</v>
      </c>
      <c r="D23" s="19" t="s">
        <v>53</v>
      </c>
      <c r="E23" s="20" t="s">
        <v>54</v>
      </c>
      <c r="F23" s="21"/>
      <c r="G23" s="22" t="s">
        <v>55</v>
      </c>
      <c r="H23" s="21"/>
      <c r="I23" s="21"/>
      <c r="J23" s="21"/>
      <c r="K23" s="23" t="n">
        <v>8940</v>
      </c>
      <c r="L23" s="22" t="s">
        <v>56</v>
      </c>
      <c r="M23" s="21" t="n">
        <v>212.94</v>
      </c>
      <c r="N23" s="21" t="n">
        <v>96.59</v>
      </c>
      <c r="O23" s="21"/>
      <c r="P23" s="21"/>
      <c r="Q23" s="21"/>
      <c r="R23" s="23"/>
      <c r="S23" s="20" t="s">
        <v>128</v>
      </c>
      <c r="T23" s="22" t="s">
        <v>129</v>
      </c>
      <c r="U23" s="22" t="s">
        <v>130</v>
      </c>
    </row>
    <row r="24" customFormat="false" ht="34.5" hidden="false" customHeight="true" outlineLevel="0" collapsed="false">
      <c r="A24" s="6" t="str">
        <f aca="false">B24&amp;"|"&amp;D24</f>
        <v>Kistos|2024</v>
      </c>
      <c r="B24" s="18" t="s">
        <v>126</v>
      </c>
      <c r="C24" s="18" t="s">
        <v>127</v>
      </c>
      <c r="D24" s="19" t="s">
        <v>60</v>
      </c>
      <c r="E24" s="20" t="s">
        <v>54</v>
      </c>
      <c r="F24" s="21" t="n">
        <v>18.731</v>
      </c>
      <c r="G24" s="22" t="s">
        <v>55</v>
      </c>
      <c r="H24" s="21" t="n">
        <v>0.553</v>
      </c>
      <c r="I24" s="21"/>
      <c r="J24" s="21"/>
      <c r="K24" s="23" t="n">
        <v>8050</v>
      </c>
      <c r="L24" s="22" t="s">
        <v>56</v>
      </c>
      <c r="M24" s="21" t="n">
        <v>216.319</v>
      </c>
      <c r="N24" s="21" t="n">
        <v>95.324</v>
      </c>
      <c r="O24" s="21" t="n">
        <v>103.51</v>
      </c>
      <c r="P24" s="21"/>
      <c r="Q24" s="21"/>
      <c r="R24" s="23" t="n">
        <v>52</v>
      </c>
      <c r="S24" s="20" t="s">
        <v>61</v>
      </c>
      <c r="T24" s="22" t="s">
        <v>131</v>
      </c>
      <c r="U24" s="22" t="s">
        <v>132</v>
      </c>
    </row>
    <row r="25" customFormat="false" ht="34.5" hidden="false" customHeight="true" outlineLevel="0" collapsed="false">
      <c r="A25" s="6" t="str">
        <f aca="false">B25&amp;"|"&amp;D25</f>
        <v>Pharos Energy|2025</v>
      </c>
      <c r="B25" s="18" t="s">
        <v>133</v>
      </c>
      <c r="C25" s="18" t="s">
        <v>134</v>
      </c>
      <c r="D25" s="19" t="s">
        <v>53</v>
      </c>
      <c r="E25" s="20" t="s">
        <v>54</v>
      </c>
      <c r="F25" s="21" t="n">
        <v>8.8</v>
      </c>
      <c r="G25" s="22" t="s">
        <v>88</v>
      </c>
      <c r="H25" s="21" t="n">
        <v>1.6</v>
      </c>
      <c r="I25" s="21"/>
      <c r="J25" s="21"/>
      <c r="K25" s="23" t="n">
        <v>5398</v>
      </c>
      <c r="L25" s="22" t="s">
        <v>56</v>
      </c>
      <c r="M25" s="21" t="n">
        <v>114.6</v>
      </c>
      <c r="N25" s="21" t="n">
        <f aca="false">8.7+46.6</f>
        <v>55.3</v>
      </c>
      <c r="O25" s="21" t="n">
        <v>55.6</v>
      </c>
      <c r="P25" s="21"/>
      <c r="Q25" s="21"/>
      <c r="R25" s="23" t="n">
        <v>32</v>
      </c>
      <c r="S25" s="20" t="s">
        <v>135</v>
      </c>
      <c r="T25" s="22" t="s">
        <v>136</v>
      </c>
      <c r="U25" s="22" t="s">
        <v>137</v>
      </c>
    </row>
    <row r="26" customFormat="false" ht="23.25" hidden="false" customHeight="true" outlineLevel="0" collapsed="false">
      <c r="A26" s="6" t="str">
        <f aca="false">B26&amp;"|"&amp;D26</f>
        <v>Pharos Energy|2024</v>
      </c>
      <c r="B26" s="18" t="s">
        <v>133</v>
      </c>
      <c r="C26" s="18" t="s">
        <v>134</v>
      </c>
      <c r="D26" s="19" t="s">
        <v>60</v>
      </c>
      <c r="E26" s="20" t="s">
        <v>54</v>
      </c>
      <c r="F26" s="21" t="n">
        <v>9.1</v>
      </c>
      <c r="G26" s="22" t="s">
        <v>88</v>
      </c>
      <c r="H26" s="21" t="n">
        <v>0.9</v>
      </c>
      <c r="I26" s="21" t="n">
        <v>0.4</v>
      </c>
      <c r="J26" s="21"/>
      <c r="K26" s="23" t="n">
        <v>5801</v>
      </c>
      <c r="L26" s="22" t="s">
        <v>56</v>
      </c>
      <c r="M26" s="21" t="n">
        <v>136</v>
      </c>
      <c r="N26" s="21" t="n">
        <f aca="false">64.3+47.3-26.3</f>
        <v>85.3</v>
      </c>
      <c r="O26" s="21" t="n">
        <v>54</v>
      </c>
      <c r="P26" s="21"/>
      <c r="Q26" s="21"/>
      <c r="R26" s="17" t="n">
        <v>35</v>
      </c>
      <c r="S26" s="20" t="s">
        <v>135</v>
      </c>
      <c r="T26" s="22" t="s">
        <v>136</v>
      </c>
      <c r="U26" s="22" t="s">
        <v>138</v>
      </c>
    </row>
    <row r="27" customFormat="false" ht="45.75" hidden="false" customHeight="true" outlineLevel="0" collapsed="false">
      <c r="A27" s="6" t="str">
        <f aca="false">B27&amp;"|"&amp;D27</f>
        <v>Diversified Energy|2025</v>
      </c>
      <c r="B27" s="18" t="s">
        <v>139</v>
      </c>
      <c r="C27" s="18" t="s">
        <v>140</v>
      </c>
      <c r="D27" s="19" t="s">
        <v>53</v>
      </c>
      <c r="E27" s="20" t="s">
        <v>54</v>
      </c>
      <c r="F27" s="21" t="n">
        <v>162</v>
      </c>
      <c r="G27" s="22" t="s">
        <v>55</v>
      </c>
      <c r="H27" s="21" t="n">
        <v>10.4</v>
      </c>
      <c r="I27" s="21" t="n">
        <v>55.1</v>
      </c>
      <c r="J27" s="21"/>
      <c r="K27" s="23" t="n">
        <v>181000</v>
      </c>
      <c r="L27" s="22" t="s">
        <v>141</v>
      </c>
      <c r="M27" s="21" t="n">
        <v>1611.5</v>
      </c>
      <c r="N27" s="21" t="n">
        <v>955.7</v>
      </c>
      <c r="O27" s="21" t="n">
        <v>671.7</v>
      </c>
      <c r="P27" s="21" t="n">
        <v>280</v>
      </c>
      <c r="Q27" s="21" t="n">
        <v>2806.9</v>
      </c>
      <c r="R27" s="23" t="n">
        <v>1987</v>
      </c>
      <c r="S27" s="20" t="s">
        <v>142</v>
      </c>
      <c r="T27" s="22" t="s">
        <v>143</v>
      </c>
      <c r="U27" s="22" t="s">
        <v>144</v>
      </c>
    </row>
    <row r="28" customFormat="false" ht="45.75" hidden="false" customHeight="true" outlineLevel="0" collapsed="false">
      <c r="A28" s="6" t="str">
        <f aca="false">B28&amp;"|"&amp;D28</f>
        <v>Diversified Energy|2024</v>
      </c>
      <c r="B28" s="18" t="s">
        <v>139</v>
      </c>
      <c r="C28" s="18" t="s">
        <v>140</v>
      </c>
      <c r="D28" s="19" t="s">
        <v>60</v>
      </c>
      <c r="E28" s="20" t="s">
        <v>54</v>
      </c>
      <c r="F28" s="21" t="n">
        <v>129.1</v>
      </c>
      <c r="G28" s="22" t="s">
        <v>55</v>
      </c>
      <c r="H28" s="21" t="n">
        <v>8.3</v>
      </c>
      <c r="I28" s="21" t="n">
        <v>34</v>
      </c>
      <c r="J28" s="21"/>
      <c r="K28" s="23" t="n">
        <f aca="false">791000/6</f>
        <v>131833.333333333</v>
      </c>
      <c r="L28" s="22" t="s">
        <v>145</v>
      </c>
      <c r="M28" s="21" t="n">
        <v>794.8</v>
      </c>
      <c r="N28" s="21" t="n">
        <v>470.4</v>
      </c>
      <c r="O28" s="21" t="n">
        <v>345.7</v>
      </c>
      <c r="P28" s="21" t="n">
        <v>168.6</v>
      </c>
      <c r="Q28" s="21" t="n">
        <v>1652.7</v>
      </c>
      <c r="R28" s="23" t="n">
        <v>1589</v>
      </c>
      <c r="S28" s="20" t="s">
        <v>142</v>
      </c>
      <c r="T28" s="22" t="s">
        <v>143</v>
      </c>
      <c r="U28" s="22" t="s">
        <v>146</v>
      </c>
    </row>
    <row r="29" customFormat="false" ht="34.5" hidden="false" customHeight="true" outlineLevel="0" collapsed="false">
      <c r="A29" s="6" t="str">
        <f aca="false">B29&amp;"|"&amp;D29</f>
        <v>Seplat Energy|2025</v>
      </c>
      <c r="B29" s="18" t="s">
        <v>147</v>
      </c>
      <c r="C29" s="18" t="s">
        <v>148</v>
      </c>
      <c r="D29" s="19" t="s">
        <v>53</v>
      </c>
      <c r="E29" s="20" t="s">
        <v>54</v>
      </c>
      <c r="F29" s="21" t="n">
        <v>249.5</v>
      </c>
      <c r="G29" s="22" t="s">
        <v>149</v>
      </c>
      <c r="H29" s="21"/>
      <c r="I29" s="21"/>
      <c r="J29" s="21"/>
      <c r="K29" s="23" t="n">
        <v>131506</v>
      </c>
      <c r="L29" s="22" t="s">
        <v>56</v>
      </c>
      <c r="M29" s="21" t="n">
        <v>2725.9</v>
      </c>
      <c r="N29" s="21" t="n">
        <v>1275.4</v>
      </c>
      <c r="O29" s="21" t="n">
        <v>1165.6</v>
      </c>
      <c r="P29" s="21"/>
      <c r="Q29" s="21" t="n">
        <v>673.3</v>
      </c>
      <c r="R29" s="17" t="n">
        <v>1506</v>
      </c>
      <c r="S29" s="20" t="s">
        <v>61</v>
      </c>
      <c r="T29" s="22" t="s">
        <v>150</v>
      </c>
      <c r="U29" s="22" t="s">
        <v>151</v>
      </c>
    </row>
    <row r="30" customFormat="false" ht="34.5" hidden="false" customHeight="true" outlineLevel="0" collapsed="false">
      <c r="A30" s="6" t="str">
        <f aca="false">B30&amp;"|"&amp;D30</f>
        <v>Seplat Energy|2024</v>
      </c>
      <c r="B30" s="18" t="s">
        <v>147</v>
      </c>
      <c r="C30" s="18" t="s">
        <v>148</v>
      </c>
      <c r="D30" s="19" t="s">
        <v>60</v>
      </c>
      <c r="E30" s="20" t="s">
        <v>54</v>
      </c>
      <c r="F30" s="21" t="n">
        <v>145.7</v>
      </c>
      <c r="G30" s="22" t="s">
        <v>152</v>
      </c>
      <c r="H30" s="21" t="n">
        <v>19.5</v>
      </c>
      <c r="I30" s="21"/>
      <c r="J30" s="21"/>
      <c r="K30" s="23" t="n">
        <v>52947</v>
      </c>
      <c r="L30" s="22" t="s">
        <v>153</v>
      </c>
      <c r="M30" s="21" t="n">
        <v>1116.2</v>
      </c>
      <c r="N30" s="21" t="n">
        <v>539</v>
      </c>
      <c r="O30" s="21" t="n">
        <v>310</v>
      </c>
      <c r="P30" s="21"/>
      <c r="Q30" s="21" t="n">
        <v>897.7</v>
      </c>
      <c r="R30" s="23" t="n">
        <v>1446</v>
      </c>
      <c r="S30" s="20" t="s">
        <v>154</v>
      </c>
      <c r="T30" s="22" t="s">
        <v>155</v>
      </c>
      <c r="U30" s="22" t="s">
        <v>156</v>
      </c>
    </row>
    <row r="31" customFormat="false" ht="45.75" hidden="false" customHeight="true" outlineLevel="0" collapsed="false">
      <c r="A31" s="6" t="str">
        <f aca="false">B31&amp;"|"&amp;D31</f>
        <v>Genel Energy|2025</v>
      </c>
      <c r="B31" s="18" t="s">
        <v>157</v>
      </c>
      <c r="C31" s="18" t="s">
        <v>158</v>
      </c>
      <c r="D31" s="19" t="s">
        <v>53</v>
      </c>
      <c r="E31" s="20" t="s">
        <v>54</v>
      </c>
      <c r="F31" s="21" t="n">
        <v>18.9</v>
      </c>
      <c r="G31" s="22" t="s">
        <v>159</v>
      </c>
      <c r="H31" s="21" t="n">
        <v>1.9</v>
      </c>
      <c r="I31" s="21"/>
      <c r="J31" s="21"/>
      <c r="K31" s="23" t="n">
        <v>17520</v>
      </c>
      <c r="L31" s="22" t="s">
        <v>160</v>
      </c>
      <c r="M31" s="21" t="n">
        <v>68.7</v>
      </c>
      <c r="N31" s="21" t="n">
        <v>43.3</v>
      </c>
      <c r="O31" s="21" t="n">
        <v>36.3</v>
      </c>
      <c r="P31" s="21" t="n">
        <v>4.1</v>
      </c>
      <c r="Q31" s="21" t="n">
        <v>-133.7</v>
      </c>
      <c r="R31" s="23" t="n">
        <v>75</v>
      </c>
      <c r="S31" s="20" t="s">
        <v>61</v>
      </c>
      <c r="T31" s="22" t="s">
        <v>161</v>
      </c>
      <c r="U31" s="22" t="s">
        <v>162</v>
      </c>
    </row>
    <row r="32" customFormat="false" ht="45.75" hidden="false" customHeight="true" outlineLevel="0" collapsed="false">
      <c r="A32" s="6" t="str">
        <f aca="false">B32&amp;"|"&amp;D32</f>
        <v>Genel Energy|2024</v>
      </c>
      <c r="B32" s="18" t="s">
        <v>157</v>
      </c>
      <c r="C32" s="18" t="s">
        <v>158</v>
      </c>
      <c r="D32" s="19" t="s">
        <v>60</v>
      </c>
      <c r="E32" s="20" t="s">
        <v>54</v>
      </c>
      <c r="F32" s="21" t="n">
        <v>23.9</v>
      </c>
      <c r="G32" s="22" t="s">
        <v>159</v>
      </c>
      <c r="H32" s="21" t="n">
        <v>1.9</v>
      </c>
      <c r="I32" s="21"/>
      <c r="J32" s="21"/>
      <c r="K32" s="23" t="n">
        <v>19650</v>
      </c>
      <c r="L32" s="22" t="s">
        <v>163</v>
      </c>
      <c r="M32" s="21" t="n">
        <v>74.7</v>
      </c>
      <c r="N32" s="21" t="n">
        <v>1.1</v>
      </c>
      <c r="O32" s="21" t="n">
        <v>66.9</v>
      </c>
      <c r="P32" s="21" t="n">
        <v>19.6</v>
      </c>
      <c r="Q32" s="21" t="n">
        <v>-130.7</v>
      </c>
      <c r="R32" s="23" t="n">
        <v>87</v>
      </c>
      <c r="S32" s="20" t="s">
        <v>61</v>
      </c>
      <c r="T32" s="22" t="s">
        <v>161</v>
      </c>
      <c r="U32" s="22" t="s">
        <v>164</v>
      </c>
    </row>
    <row r="33" customFormat="false" ht="34.5" hidden="false" customHeight="true" outlineLevel="0" collapsed="false">
      <c r="A33" s="6" t="str">
        <f aca="false">B33&amp;"|"&amp;D33</f>
        <v>Capricorn Energy|2025</v>
      </c>
      <c r="B33" s="18" t="s">
        <v>165</v>
      </c>
      <c r="C33" s="18" t="s">
        <v>166</v>
      </c>
      <c r="D33" s="19" t="s">
        <v>53</v>
      </c>
      <c r="E33" s="20" t="s">
        <v>54</v>
      </c>
      <c r="F33" s="21" t="n">
        <v>24.9</v>
      </c>
      <c r="G33" s="22" t="s">
        <v>88</v>
      </c>
      <c r="H33" s="21" t="n">
        <v>2.2</v>
      </c>
      <c r="I33" s="21" t="n">
        <v>2</v>
      </c>
      <c r="J33" s="21"/>
      <c r="K33" s="23" t="n">
        <v>20024</v>
      </c>
      <c r="L33" s="22" t="s">
        <v>167</v>
      </c>
      <c r="M33" s="21" t="n">
        <v>134.9</v>
      </c>
      <c r="N33" s="21"/>
      <c r="O33" s="21" t="n">
        <v>149.9</v>
      </c>
      <c r="P33" s="21" t="n">
        <v>94.1</v>
      </c>
      <c r="Q33" s="21" t="n">
        <v>-103</v>
      </c>
      <c r="R33" s="23" t="n">
        <v>41</v>
      </c>
      <c r="S33" s="20" t="s">
        <v>168</v>
      </c>
      <c r="T33" s="22" t="s">
        <v>169</v>
      </c>
      <c r="U33" s="22" t="s">
        <v>170</v>
      </c>
    </row>
    <row r="34" customFormat="false" ht="34.5" hidden="false" customHeight="true" outlineLevel="0" collapsed="false">
      <c r="A34" s="6" t="str">
        <f aca="false">B34&amp;"|"&amp;D34</f>
        <v>Capricorn Energy|2024</v>
      </c>
      <c r="B34" s="18" t="s">
        <v>165</v>
      </c>
      <c r="C34" s="18" t="s">
        <v>166</v>
      </c>
      <c r="D34" s="19" t="s">
        <v>60</v>
      </c>
      <c r="E34" s="20" t="s">
        <v>54</v>
      </c>
      <c r="F34" s="21" t="n">
        <v>23.9</v>
      </c>
      <c r="G34" s="22" t="s">
        <v>88</v>
      </c>
      <c r="H34" s="21" t="n">
        <v>1.9</v>
      </c>
      <c r="I34" s="21" t="n">
        <v>2</v>
      </c>
      <c r="J34" s="21"/>
      <c r="K34" s="23" t="n">
        <v>23763</v>
      </c>
      <c r="L34" s="22" t="s">
        <v>171</v>
      </c>
      <c r="M34" s="21" t="n">
        <v>147.8</v>
      </c>
      <c r="N34" s="21"/>
      <c r="O34" s="21" t="n">
        <v>86.1</v>
      </c>
      <c r="P34" s="21" t="n">
        <v>34.8</v>
      </c>
      <c r="Q34" s="21" t="n">
        <v>-23</v>
      </c>
      <c r="R34" s="23" t="n">
        <v>45</v>
      </c>
      <c r="S34" s="20" t="s">
        <v>168</v>
      </c>
      <c r="T34" s="22" t="s">
        <v>169</v>
      </c>
      <c r="U34" s="22" t="s">
        <v>172</v>
      </c>
    </row>
    <row r="35" customFormat="false" ht="34.5" hidden="false" customHeight="true" outlineLevel="0" collapsed="false">
      <c r="A35" s="6" t="str">
        <f aca="false">B35&amp;"|"&amp;D35</f>
        <v>Afentra|2025</v>
      </c>
      <c r="B35" s="18" t="s">
        <v>173</v>
      </c>
      <c r="C35" s="18" t="s">
        <v>174</v>
      </c>
      <c r="D35" s="19" t="s">
        <v>53</v>
      </c>
      <c r="E35" s="20" t="s">
        <v>54</v>
      </c>
      <c r="F35" s="21" t="n">
        <v>15.29</v>
      </c>
      <c r="G35" s="22" t="s">
        <v>175</v>
      </c>
      <c r="H35" s="21" t="n">
        <v>1.87</v>
      </c>
      <c r="I35" s="21" t="n">
        <v>1.56</v>
      </c>
      <c r="J35" s="21"/>
      <c r="K35" s="23" t="n">
        <v>6324</v>
      </c>
      <c r="L35" s="22" t="s">
        <v>176</v>
      </c>
      <c r="M35" s="21" t="n">
        <v>114.4</v>
      </c>
      <c r="N35" s="21" t="n">
        <v>51.7</v>
      </c>
      <c r="O35" s="21" t="n">
        <v>29.6</v>
      </c>
      <c r="P35" s="21" t="n">
        <v>-20.2</v>
      </c>
      <c r="Q35" s="21" t="n">
        <v>21.8</v>
      </c>
      <c r="R35" s="23" t="n">
        <v>22</v>
      </c>
      <c r="S35" s="20" t="s">
        <v>177</v>
      </c>
      <c r="T35" s="22" t="s">
        <v>178</v>
      </c>
      <c r="U35" s="22" t="s">
        <v>179</v>
      </c>
    </row>
    <row r="36" customFormat="false" ht="23.25" hidden="false" customHeight="true" outlineLevel="0" collapsed="false">
      <c r="A36" s="6" t="str">
        <f aca="false">B36&amp;"|"&amp;D36</f>
        <v>Afentra|2024</v>
      </c>
      <c r="B36" s="18" t="s">
        <v>173</v>
      </c>
      <c r="C36" s="18" t="s">
        <v>174</v>
      </c>
      <c r="D36" s="19" t="s">
        <v>60</v>
      </c>
      <c r="E36" s="20" t="s">
        <v>54</v>
      </c>
      <c r="F36" s="21" t="n">
        <v>12.27</v>
      </c>
      <c r="G36" s="22" t="s">
        <v>175</v>
      </c>
      <c r="H36" s="21" t="n">
        <v>0.99</v>
      </c>
      <c r="I36" s="21" t="n">
        <v>1.83</v>
      </c>
      <c r="J36" s="21"/>
      <c r="K36" s="23" t="n">
        <v>6229</v>
      </c>
      <c r="L36" s="22" t="s">
        <v>176</v>
      </c>
      <c r="M36" s="21" t="n">
        <v>180.9</v>
      </c>
      <c r="N36" s="21" t="n">
        <v>90.2</v>
      </c>
      <c r="O36" s="21" t="n">
        <v>85.6</v>
      </c>
      <c r="P36" s="21" t="n">
        <v>65</v>
      </c>
      <c r="Q36" s="21" t="n">
        <v>-12.6</v>
      </c>
      <c r="R36" s="23" t="n">
        <v>18</v>
      </c>
      <c r="S36" s="20" t="s">
        <v>61</v>
      </c>
      <c r="T36" s="22" t="s">
        <v>180</v>
      </c>
      <c r="U36" s="22" t="s">
        <v>181</v>
      </c>
    </row>
    <row r="37" customFormat="false" ht="34.5" hidden="false" customHeight="true" outlineLevel="0" collapsed="false">
      <c r="A37" s="6" t="str">
        <f aca="false">B37&amp;"|"&amp;D37</f>
        <v>Touchstone Exploration|2025</v>
      </c>
      <c r="B37" s="18" t="s">
        <v>182</v>
      </c>
      <c r="C37" s="18" t="s">
        <v>183</v>
      </c>
      <c r="D37" s="19" t="s">
        <v>53</v>
      </c>
      <c r="E37" s="20" t="s">
        <v>54</v>
      </c>
      <c r="F37" s="21" t="n">
        <v>9.82</v>
      </c>
      <c r="G37" s="22" t="s">
        <v>184</v>
      </c>
      <c r="H37" s="21"/>
      <c r="I37" s="21"/>
      <c r="J37" s="21" t="n">
        <v>10.22</v>
      </c>
      <c r="K37" s="23" t="n">
        <v>4686</v>
      </c>
      <c r="L37" s="22" t="s">
        <v>185</v>
      </c>
      <c r="M37" s="21" t="n">
        <v>34.3</v>
      </c>
      <c r="N37" s="21"/>
      <c r="O37" s="21" t="n">
        <v>20.13</v>
      </c>
      <c r="P37" s="21" t="n">
        <v>-8.2</v>
      </c>
      <c r="Q37" s="21" t="n">
        <v>72.9</v>
      </c>
      <c r="R37" s="23"/>
      <c r="S37" s="20" t="s">
        <v>186</v>
      </c>
      <c r="T37" s="22" t="s">
        <v>187</v>
      </c>
      <c r="U37" s="22" t="s">
        <v>188</v>
      </c>
    </row>
    <row r="38" customFormat="false" ht="23.25" hidden="false" customHeight="true" outlineLevel="0" collapsed="false">
      <c r="A38" s="6" t="str">
        <f aca="false">B38&amp;"|"&amp;D38</f>
        <v>Touchstone Exploration|2024</v>
      </c>
      <c r="B38" s="18" t="s">
        <v>182</v>
      </c>
      <c r="C38" s="18" t="s">
        <v>183</v>
      </c>
      <c r="D38" s="19" t="s">
        <v>60</v>
      </c>
      <c r="E38" s="20" t="s">
        <v>54</v>
      </c>
      <c r="F38" s="21" t="n">
        <v>10.15</v>
      </c>
      <c r="G38" s="22" t="s">
        <v>189</v>
      </c>
      <c r="H38" s="21"/>
      <c r="I38" s="21"/>
      <c r="J38" s="21" t="n">
        <v>10.69</v>
      </c>
      <c r="K38" s="23" t="n">
        <v>5734</v>
      </c>
      <c r="L38" s="22" t="s">
        <v>185</v>
      </c>
      <c r="M38" s="21" t="n">
        <v>43.6</v>
      </c>
      <c r="N38" s="21"/>
      <c r="O38" s="21" t="n">
        <v>13.18</v>
      </c>
      <c r="P38" s="21" t="n">
        <v>-10.5</v>
      </c>
      <c r="Q38" s="21" t="n">
        <v>29.1</v>
      </c>
      <c r="R38" s="23"/>
      <c r="S38" s="20" t="s">
        <v>61</v>
      </c>
      <c r="T38" s="22" t="s">
        <v>187</v>
      </c>
      <c r="U38" s="22" t="s">
        <v>190</v>
      </c>
    </row>
    <row r="39" customFormat="false" ht="34.5" hidden="false" customHeight="true" outlineLevel="0" collapsed="false">
      <c r="A39" s="6" t="str">
        <f aca="false">B39&amp;"|"&amp;D39</f>
        <v>PetroTal|2025</v>
      </c>
      <c r="B39" s="18" t="s">
        <v>191</v>
      </c>
      <c r="C39" s="18" t="s">
        <v>192</v>
      </c>
      <c r="D39" s="19" t="s">
        <v>53</v>
      </c>
      <c r="E39" s="20" t="s">
        <v>54</v>
      </c>
      <c r="F39" s="21" t="n">
        <v>29.5</v>
      </c>
      <c r="G39" s="22" t="s">
        <v>193</v>
      </c>
      <c r="H39" s="21"/>
      <c r="I39" s="21"/>
      <c r="J39" s="21"/>
      <c r="K39" s="23" t="n">
        <v>19473</v>
      </c>
      <c r="L39" s="22" t="s">
        <v>194</v>
      </c>
      <c r="M39" s="21" t="n">
        <v>316.9</v>
      </c>
      <c r="N39" s="21" t="n">
        <v>166.3</v>
      </c>
      <c r="O39" s="24" t="n">
        <v>164.3</v>
      </c>
      <c r="P39" s="21" t="n">
        <v>90.4</v>
      </c>
      <c r="Q39" s="21"/>
      <c r="R39" s="17" t="n">
        <v>234</v>
      </c>
      <c r="S39" s="20" t="s">
        <v>61</v>
      </c>
      <c r="T39" s="22" t="s">
        <v>195</v>
      </c>
      <c r="U39" s="22" t="s">
        <v>196</v>
      </c>
    </row>
    <row r="40" customFormat="false" ht="34.5" hidden="false" customHeight="true" outlineLevel="0" collapsed="false">
      <c r="A40" s="6" t="str">
        <f aca="false">B40&amp;"|"&amp;D40</f>
        <v>PetroTal|2024</v>
      </c>
      <c r="B40" s="18" t="s">
        <v>191</v>
      </c>
      <c r="C40" s="18" t="s">
        <v>192</v>
      </c>
      <c r="D40" s="19" t="s">
        <v>60</v>
      </c>
      <c r="E40" s="20" t="s">
        <v>54</v>
      </c>
      <c r="F40" s="21" t="n">
        <v>36.29</v>
      </c>
      <c r="G40" s="22" t="s">
        <v>193</v>
      </c>
      <c r="H40" s="21"/>
      <c r="I40" s="21"/>
      <c r="J40" s="21"/>
      <c r="K40" s="23" t="n">
        <v>17785</v>
      </c>
      <c r="L40" s="22" t="s">
        <v>194</v>
      </c>
      <c r="M40" s="21" t="n">
        <v>373.9</v>
      </c>
      <c r="N40" s="21" t="n">
        <v>237</v>
      </c>
      <c r="O40" s="24" t="n">
        <v>230.8</v>
      </c>
      <c r="P40" s="21" t="n">
        <v>74.1</v>
      </c>
      <c r="Q40" s="21" t="n">
        <v>1.5</v>
      </c>
      <c r="R40" s="23"/>
      <c r="S40" s="20" t="s">
        <v>61</v>
      </c>
      <c r="T40" s="22" t="s">
        <v>197</v>
      </c>
      <c r="U40" s="22" t="s">
        <v>198</v>
      </c>
    </row>
    <row r="41" customFormat="false" ht="15" hidden="false" customHeight="true" outlineLevel="0" collapsed="false">
      <c r="A41" s="6" t="str">
        <f aca="false">B41&amp;"|"&amp;D41</f>
        <v>Arrow Exploration|2025</v>
      </c>
      <c r="B41" s="18" t="s">
        <v>199</v>
      </c>
      <c r="C41" s="18" t="s">
        <v>200</v>
      </c>
      <c r="D41" s="19" t="s">
        <v>53</v>
      </c>
      <c r="E41" s="20" t="s">
        <v>54</v>
      </c>
      <c r="F41" s="21" t="n">
        <v>11.94</v>
      </c>
      <c r="G41" s="22" t="s">
        <v>201</v>
      </c>
      <c r="H41" s="21"/>
      <c r="I41" s="21"/>
      <c r="J41" s="21"/>
      <c r="K41" s="23" t="n">
        <v>4012</v>
      </c>
      <c r="L41" s="22" t="s">
        <v>202</v>
      </c>
      <c r="M41" s="21" t="n">
        <v>70.5</v>
      </c>
      <c r="N41" s="21" t="n">
        <v>34.97</v>
      </c>
      <c r="O41" s="21" t="n">
        <v>26.8</v>
      </c>
      <c r="P41" s="21" t="n">
        <v>-16.4</v>
      </c>
      <c r="Q41" s="21" t="n">
        <v>-11.2</v>
      </c>
      <c r="R41" s="23"/>
      <c r="S41" s="20" t="s">
        <v>177</v>
      </c>
      <c r="T41" s="22" t="s">
        <v>203</v>
      </c>
      <c r="U41" s="22" t="s">
        <v>204</v>
      </c>
    </row>
    <row r="42" customFormat="false" ht="15" hidden="false" customHeight="true" outlineLevel="0" collapsed="false">
      <c r="A42" s="6" t="str">
        <f aca="false">B42&amp;"|"&amp;D42</f>
        <v>Arrow Exploration|2024</v>
      </c>
      <c r="B42" s="18" t="s">
        <v>199</v>
      </c>
      <c r="C42" s="18" t="s">
        <v>200</v>
      </c>
      <c r="D42" s="19" t="s">
        <v>60</v>
      </c>
      <c r="E42" s="20" t="s">
        <v>54</v>
      </c>
      <c r="F42" s="21" t="n">
        <v>12.88</v>
      </c>
      <c r="G42" s="22" t="s">
        <v>201</v>
      </c>
      <c r="H42" s="21"/>
      <c r="I42" s="21"/>
      <c r="J42" s="21"/>
      <c r="K42" s="23" t="n">
        <v>3542</v>
      </c>
      <c r="L42" s="22" t="s">
        <v>202</v>
      </c>
      <c r="M42" s="21" t="n">
        <v>73.7</v>
      </c>
      <c r="N42" s="21" t="n">
        <v>48.14</v>
      </c>
      <c r="O42" s="21" t="n">
        <v>39.52</v>
      </c>
      <c r="P42" s="21" t="n">
        <v>8.4</v>
      </c>
      <c r="Q42" s="21" t="n">
        <v>-18.8</v>
      </c>
      <c r="R42" s="23"/>
      <c r="S42" s="20" t="s">
        <v>61</v>
      </c>
      <c r="T42" s="22" t="s">
        <v>203</v>
      </c>
      <c r="U42" s="22" t="s">
        <v>205</v>
      </c>
    </row>
    <row r="43" customFormat="false" ht="34.5" hidden="false" customHeight="true" outlineLevel="0" collapsed="false">
      <c r="A43" s="6" t="str">
        <f aca="false">B43&amp;"|"&amp;D43</f>
        <v>Star Energy Group|2025</v>
      </c>
      <c r="B43" s="18" t="s">
        <v>206</v>
      </c>
      <c r="C43" s="18" t="s">
        <v>207</v>
      </c>
      <c r="D43" s="19" t="s">
        <v>53</v>
      </c>
      <c r="E43" s="20" t="s">
        <v>208</v>
      </c>
      <c r="F43" s="21" t="n">
        <v>6.48</v>
      </c>
      <c r="G43" s="22" t="s">
        <v>209</v>
      </c>
      <c r="H43" s="21" t="n">
        <v>0.33</v>
      </c>
      <c r="I43" s="21" t="n">
        <v>0.26</v>
      </c>
      <c r="J43" s="21"/>
      <c r="K43" s="23" t="n">
        <v>1886</v>
      </c>
      <c r="L43" s="22" t="s">
        <v>210</v>
      </c>
      <c r="M43" s="21" t="n">
        <v>45.8</v>
      </c>
      <c r="N43" s="21" t="n">
        <v>10.2</v>
      </c>
      <c r="O43" s="21" t="n">
        <v>8.29</v>
      </c>
      <c r="P43" s="21"/>
      <c r="Q43" s="21" t="n">
        <v>5.68</v>
      </c>
      <c r="R43" s="17" t="n">
        <v>114</v>
      </c>
      <c r="S43" s="20" t="s">
        <v>211</v>
      </c>
      <c r="T43" s="22" t="s">
        <v>212</v>
      </c>
      <c r="U43" s="22" t="s">
        <v>213</v>
      </c>
    </row>
    <row r="44" customFormat="false" ht="34.5" hidden="false" customHeight="true" outlineLevel="0" collapsed="false">
      <c r="A44" s="6" t="str">
        <f aca="false">B44&amp;"|"&amp;D44</f>
        <v>Star Energy Group|2024</v>
      </c>
      <c r="B44" s="18" t="s">
        <v>206</v>
      </c>
      <c r="C44" s="18" t="s">
        <v>207</v>
      </c>
      <c r="D44" s="19" t="s">
        <v>60</v>
      </c>
      <c r="E44" s="20" t="s">
        <v>208</v>
      </c>
      <c r="F44" s="21" t="n">
        <v>9.5</v>
      </c>
      <c r="G44" s="22" t="s">
        <v>214</v>
      </c>
      <c r="H44" s="21" t="n">
        <v>0.26</v>
      </c>
      <c r="I44" s="21" t="n">
        <v>0.64</v>
      </c>
      <c r="J44" s="21"/>
      <c r="K44" s="23" t="n">
        <v>1989</v>
      </c>
      <c r="L44" s="22" t="s">
        <v>210</v>
      </c>
      <c r="M44" s="21" t="n">
        <v>55.9</v>
      </c>
      <c r="N44" s="21" t="n">
        <v>14.2</v>
      </c>
      <c r="O44" s="21" t="n">
        <v>2.91</v>
      </c>
      <c r="P44" s="21"/>
      <c r="Q44" s="21" t="n">
        <v>9.6</v>
      </c>
      <c r="R44" s="17" t="n">
        <v>133</v>
      </c>
      <c r="S44" s="20" t="s">
        <v>215</v>
      </c>
      <c r="T44" s="22" t="s">
        <v>212</v>
      </c>
      <c r="U44" s="22" t="s">
        <v>216</v>
      </c>
    </row>
    <row r="45" customFormat="false" ht="23.25" hidden="false" customHeight="true" outlineLevel="0" collapsed="false">
      <c r="A45" s="6" t="str">
        <f aca="false">B45&amp;"|"&amp;D45</f>
        <v>Zephyr Energy|2025</v>
      </c>
      <c r="B45" s="18" t="s">
        <v>217</v>
      </c>
      <c r="C45" s="18" t="s">
        <v>218</v>
      </c>
      <c r="D45" s="19" t="s">
        <v>53</v>
      </c>
      <c r="E45" s="20" t="s">
        <v>54</v>
      </c>
      <c r="F45" s="21" t="n">
        <v>5.835</v>
      </c>
      <c r="G45" s="22" t="s">
        <v>88</v>
      </c>
      <c r="H45" s="21"/>
      <c r="I45" s="21"/>
      <c r="J45" s="21"/>
      <c r="K45" s="23" t="n">
        <v>864</v>
      </c>
      <c r="L45" s="22" t="s">
        <v>219</v>
      </c>
      <c r="M45" s="21" t="n">
        <v>13.911</v>
      </c>
      <c r="N45" s="21" t="n">
        <v>1.7</v>
      </c>
      <c r="O45" s="21" t="n">
        <v>0.605</v>
      </c>
      <c r="P45" s="21" t="n">
        <v>-3.497</v>
      </c>
      <c r="Q45" s="21" t="n">
        <v>20.632</v>
      </c>
      <c r="R45" s="23"/>
      <c r="S45" s="20" t="s">
        <v>220</v>
      </c>
      <c r="T45" s="22" t="s">
        <v>221</v>
      </c>
      <c r="U45" s="22" t="s">
        <v>222</v>
      </c>
    </row>
    <row r="46" customFormat="false" ht="23.25" hidden="false" customHeight="true" outlineLevel="0" collapsed="false">
      <c r="A46" s="6" t="str">
        <f aca="false">B46&amp;"|"&amp;D46</f>
        <v>Zephyr Energy|2024</v>
      </c>
      <c r="B46" s="18" t="s">
        <v>217</v>
      </c>
      <c r="C46" s="18" t="s">
        <v>218</v>
      </c>
      <c r="D46" s="19" t="s">
        <v>60</v>
      </c>
      <c r="E46" s="20" t="s">
        <v>54</v>
      </c>
      <c r="F46" s="21" t="n">
        <v>5.976</v>
      </c>
      <c r="G46" s="22" t="s">
        <v>88</v>
      </c>
      <c r="H46" s="21"/>
      <c r="I46" s="21"/>
      <c r="J46" s="21"/>
      <c r="K46" s="23" t="n">
        <v>1052</v>
      </c>
      <c r="L46" s="22" t="s">
        <v>219</v>
      </c>
      <c r="M46" s="21" t="n">
        <v>24.279</v>
      </c>
      <c r="N46" s="21" t="n">
        <v>10.9</v>
      </c>
      <c r="O46" s="21" t="n">
        <v>12.979</v>
      </c>
      <c r="P46" s="21" t="n">
        <v>-0.751</v>
      </c>
      <c r="Q46" s="21" t="n">
        <v>16.05</v>
      </c>
      <c r="R46" s="23"/>
      <c r="S46" s="20" t="s">
        <v>61</v>
      </c>
      <c r="T46" s="22" t="s">
        <v>223</v>
      </c>
      <c r="U46" s="22" t="s">
        <v>224</v>
      </c>
    </row>
  </sheetData>
  <autoFilter ref="A4:U4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4"/>
    <col collapsed="false" customWidth="true" hidden="false" outlineLevel="0" max="3" min="3" style="1" width="16"/>
    <col collapsed="false" customWidth="true" hidden="false" outlineLevel="0" max="6" min="4" style="1" width="12"/>
    <col collapsed="false" customWidth="true" hidden="false" outlineLevel="0" max="7" min="7" style="1" width="16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10" min="10" style="1" width="34"/>
    <col collapsed="false" customWidth="true" hidden="false" outlineLevel="0" max="11" min="11" style="1" width="14"/>
    <col collapsed="false" customWidth="true" hidden="false" outlineLevel="0" max="12" min="12" style="1" width="60"/>
    <col collapsed="false" customWidth="true" hidden="false" outlineLevel="0" max="13" min="13" style="1" width="11"/>
  </cols>
  <sheetData>
    <row r="1" customFormat="false" ht="17.25" hidden="false" customHeight="true" outlineLevel="0" collapsed="false">
      <c r="A1" s="2" t="s">
        <v>225</v>
      </c>
    </row>
    <row r="2" customFormat="false" ht="15" hidden="false" customHeight="true" outlineLevel="0" collapsed="false">
      <c r="A2" s="3" t="s">
        <v>226</v>
      </c>
    </row>
    <row r="4" customFormat="false" ht="42" hidden="false" customHeight="true" outlineLevel="0" collapsed="false">
      <c r="A4" s="9" t="s">
        <v>31</v>
      </c>
      <c r="B4" s="9" t="s">
        <v>227</v>
      </c>
      <c r="C4" s="9" t="s">
        <v>228</v>
      </c>
      <c r="D4" s="9" t="s">
        <v>229</v>
      </c>
      <c r="E4" s="9" t="s">
        <v>230</v>
      </c>
      <c r="F4" s="9" t="s">
        <v>231</v>
      </c>
      <c r="G4" s="9" t="s">
        <v>232</v>
      </c>
      <c r="H4" s="9" t="s">
        <v>233</v>
      </c>
      <c r="I4" s="9" t="s">
        <v>234</v>
      </c>
      <c r="J4" s="9" t="s">
        <v>235</v>
      </c>
      <c r="K4" s="9" t="s">
        <v>236</v>
      </c>
      <c r="L4" s="9" t="s">
        <v>237</v>
      </c>
      <c r="M4" s="9" t="s">
        <v>238</v>
      </c>
    </row>
    <row r="5" customFormat="false" ht="23.25" hidden="false" customHeight="true" outlineLevel="0" collapsed="false">
      <c r="A5" s="18" t="s">
        <v>51</v>
      </c>
      <c r="B5" s="20" t="s">
        <v>239</v>
      </c>
      <c r="C5" s="20" t="s">
        <v>240</v>
      </c>
      <c r="D5" s="20" t="s">
        <v>241</v>
      </c>
      <c r="E5" s="20" t="s">
        <v>242</v>
      </c>
      <c r="F5" s="20" t="s">
        <v>243</v>
      </c>
      <c r="G5" s="20" t="s">
        <v>244</v>
      </c>
      <c r="H5" s="20" t="s">
        <v>245</v>
      </c>
      <c r="I5" s="25" t="n">
        <v>0.4</v>
      </c>
      <c r="J5" s="26"/>
      <c r="K5" s="27"/>
      <c r="L5" s="22" t="s">
        <v>246</v>
      </c>
      <c r="M5" s="20" t="s">
        <v>247</v>
      </c>
    </row>
    <row r="6" customFormat="false" ht="68.25" hidden="false" customHeight="true" outlineLevel="0" collapsed="false">
      <c r="A6" s="18" t="s">
        <v>63</v>
      </c>
      <c r="B6" s="20" t="s">
        <v>248</v>
      </c>
      <c r="C6" s="20" t="s">
        <v>249</v>
      </c>
      <c r="D6" s="20" t="s">
        <v>250</v>
      </c>
      <c r="E6" s="20" t="s">
        <v>251</v>
      </c>
      <c r="F6" s="20" t="s">
        <v>252</v>
      </c>
      <c r="G6" s="20" t="s">
        <v>253</v>
      </c>
      <c r="H6" s="20" t="s">
        <v>254</v>
      </c>
      <c r="I6" s="25" t="n">
        <v>0.25</v>
      </c>
      <c r="J6" s="26" t="n">
        <v>12500</v>
      </c>
      <c r="K6" s="27" t="n">
        <v>56.873</v>
      </c>
      <c r="L6" s="22" t="s">
        <v>255</v>
      </c>
      <c r="M6" s="20" t="s">
        <v>247</v>
      </c>
    </row>
    <row r="7" customFormat="false" ht="34.5" hidden="false" customHeight="true" outlineLevel="0" collapsed="false">
      <c r="A7" s="18" t="s">
        <v>71</v>
      </c>
      <c r="B7" s="20" t="s">
        <v>248</v>
      </c>
      <c r="C7" s="20" t="s">
        <v>256</v>
      </c>
      <c r="D7" s="20" t="s">
        <v>257</v>
      </c>
      <c r="E7" s="20" t="s">
        <v>258</v>
      </c>
      <c r="F7" s="20" t="s">
        <v>252</v>
      </c>
      <c r="G7" s="20" t="s">
        <v>259</v>
      </c>
      <c r="H7" s="20" t="s">
        <v>260</v>
      </c>
      <c r="I7" s="25" t="n">
        <v>0.78</v>
      </c>
      <c r="J7" s="26"/>
      <c r="K7" s="27"/>
      <c r="L7" s="22" t="s">
        <v>261</v>
      </c>
      <c r="M7" s="20" t="s">
        <v>247</v>
      </c>
    </row>
    <row r="8" customFormat="false" ht="23.25" hidden="false" customHeight="true" outlineLevel="0" collapsed="false">
      <c r="A8" s="18" t="s">
        <v>81</v>
      </c>
      <c r="B8" s="20" t="s">
        <v>248</v>
      </c>
      <c r="C8" s="20" t="s">
        <v>256</v>
      </c>
      <c r="D8" s="20" t="s">
        <v>241</v>
      </c>
      <c r="E8" s="20" t="s">
        <v>262</v>
      </c>
      <c r="F8" s="20" t="s">
        <v>263</v>
      </c>
      <c r="G8" s="20" t="s">
        <v>264</v>
      </c>
      <c r="H8" s="20" t="s">
        <v>260</v>
      </c>
      <c r="I8" s="25" t="n">
        <v>0.78</v>
      </c>
      <c r="J8" s="26"/>
      <c r="K8" s="27"/>
      <c r="L8" s="22" t="s">
        <v>265</v>
      </c>
      <c r="M8" s="20" t="s">
        <v>247</v>
      </c>
    </row>
    <row r="9" customFormat="false" ht="15" hidden="false" customHeight="true" outlineLevel="0" collapsed="false">
      <c r="A9" s="18" t="s">
        <v>86</v>
      </c>
      <c r="B9" s="20" t="s">
        <v>239</v>
      </c>
      <c r="C9" s="20" t="s">
        <v>256</v>
      </c>
      <c r="D9" s="20" t="s">
        <v>241</v>
      </c>
      <c r="E9" s="20" t="s">
        <v>262</v>
      </c>
      <c r="F9" s="20" t="s">
        <v>266</v>
      </c>
      <c r="G9" s="20" t="s">
        <v>267</v>
      </c>
      <c r="H9" s="20" t="s">
        <v>260</v>
      </c>
      <c r="I9" s="25" t="n">
        <v>0.78</v>
      </c>
      <c r="J9" s="26"/>
      <c r="K9" s="27"/>
      <c r="L9" s="22" t="s">
        <v>268</v>
      </c>
      <c r="M9" s="20" t="s">
        <v>247</v>
      </c>
    </row>
    <row r="10" customFormat="false" ht="15" hidden="false" customHeight="true" outlineLevel="0" collapsed="false">
      <c r="A10" s="18" t="s">
        <v>93</v>
      </c>
      <c r="B10" s="20" t="s">
        <v>239</v>
      </c>
      <c r="C10" s="20" t="s">
        <v>256</v>
      </c>
      <c r="D10" s="20" t="s">
        <v>250</v>
      </c>
      <c r="E10" s="20" t="s">
        <v>269</v>
      </c>
      <c r="F10" s="20" t="s">
        <v>270</v>
      </c>
      <c r="G10" s="20" t="s">
        <v>264</v>
      </c>
      <c r="H10" s="20" t="s">
        <v>254</v>
      </c>
      <c r="I10" s="25" t="n">
        <v>0.23</v>
      </c>
      <c r="J10" s="26"/>
      <c r="K10" s="27"/>
      <c r="L10" s="22" t="s">
        <v>271</v>
      </c>
      <c r="M10" s="20" t="s">
        <v>247</v>
      </c>
    </row>
    <row r="11" customFormat="false" ht="23.25" hidden="false" customHeight="true" outlineLevel="0" collapsed="false">
      <c r="A11" s="18" t="s">
        <v>99</v>
      </c>
      <c r="B11" s="20" t="s">
        <v>248</v>
      </c>
      <c r="C11" s="20" t="s">
        <v>256</v>
      </c>
      <c r="D11" s="20" t="s">
        <v>272</v>
      </c>
      <c r="E11" s="20" t="s">
        <v>273</v>
      </c>
      <c r="F11" s="20" t="s">
        <v>252</v>
      </c>
      <c r="G11" s="20" t="s">
        <v>264</v>
      </c>
      <c r="H11" s="20" t="s">
        <v>254</v>
      </c>
      <c r="I11" s="25" t="n">
        <v>0.35</v>
      </c>
      <c r="J11" s="26"/>
      <c r="K11" s="27"/>
      <c r="L11" s="22" t="s">
        <v>274</v>
      </c>
      <c r="M11" s="20" t="s">
        <v>247</v>
      </c>
    </row>
    <row r="12" customFormat="false" ht="15" hidden="false" customHeight="true" outlineLevel="0" collapsed="false">
      <c r="A12" s="18" t="s">
        <v>106</v>
      </c>
      <c r="B12" s="20" t="s">
        <v>248</v>
      </c>
      <c r="C12" s="20" t="s">
        <v>249</v>
      </c>
      <c r="D12" s="20" t="s">
        <v>250</v>
      </c>
      <c r="E12" s="20" t="s">
        <v>262</v>
      </c>
      <c r="F12" s="20" t="s">
        <v>252</v>
      </c>
      <c r="G12" s="20" t="s">
        <v>264</v>
      </c>
      <c r="H12" s="20" t="s">
        <v>254</v>
      </c>
      <c r="I12" s="25" t="n">
        <v>0</v>
      </c>
      <c r="J12" s="26"/>
      <c r="K12" s="27"/>
      <c r="L12" s="22" t="s">
        <v>275</v>
      </c>
      <c r="M12" s="20" t="s">
        <v>247</v>
      </c>
    </row>
    <row r="13" customFormat="false" ht="23.25" hidden="false" customHeight="true" outlineLevel="0" collapsed="false">
      <c r="A13" s="18" t="s">
        <v>117</v>
      </c>
      <c r="B13" s="20" t="s">
        <v>276</v>
      </c>
      <c r="C13" s="20" t="s">
        <v>256</v>
      </c>
      <c r="D13" s="20" t="s">
        <v>241</v>
      </c>
      <c r="E13" s="20" t="s">
        <v>258</v>
      </c>
      <c r="F13" s="20" t="s">
        <v>277</v>
      </c>
      <c r="G13" s="20" t="s">
        <v>278</v>
      </c>
      <c r="H13" s="20" t="s">
        <v>254</v>
      </c>
      <c r="I13" s="25" t="n">
        <v>0.3</v>
      </c>
      <c r="J13" s="26"/>
      <c r="K13" s="27"/>
      <c r="L13" s="22" t="s">
        <v>279</v>
      </c>
      <c r="M13" s="20" t="s">
        <v>280</v>
      </c>
    </row>
    <row r="14" customFormat="false" ht="34.5" hidden="false" customHeight="true" outlineLevel="0" collapsed="false">
      <c r="A14" s="18" t="s">
        <v>126</v>
      </c>
      <c r="B14" s="20" t="s">
        <v>276</v>
      </c>
      <c r="C14" s="20" t="s">
        <v>240</v>
      </c>
      <c r="D14" s="20" t="s">
        <v>281</v>
      </c>
      <c r="E14" s="20" t="s">
        <v>258</v>
      </c>
      <c r="F14" s="20" t="s">
        <v>277</v>
      </c>
      <c r="G14" s="20" t="s">
        <v>282</v>
      </c>
      <c r="H14" s="20" t="s">
        <v>283</v>
      </c>
      <c r="I14" s="25" t="n">
        <v>0.5</v>
      </c>
      <c r="J14" s="26" t="n">
        <v>20000</v>
      </c>
      <c r="K14" s="27" t="n">
        <v>26.186</v>
      </c>
      <c r="L14" s="22" t="s">
        <v>284</v>
      </c>
      <c r="M14" s="20" t="s">
        <v>247</v>
      </c>
    </row>
    <row r="15" customFormat="false" ht="23.25" hidden="false" customHeight="true" outlineLevel="0" collapsed="false">
      <c r="A15" s="18" t="s">
        <v>133</v>
      </c>
      <c r="B15" s="20" t="s">
        <v>276</v>
      </c>
      <c r="C15" s="20" t="s">
        <v>240</v>
      </c>
      <c r="D15" s="20" t="s">
        <v>285</v>
      </c>
      <c r="E15" s="20" t="s">
        <v>273</v>
      </c>
      <c r="F15" s="20" t="s">
        <v>252</v>
      </c>
      <c r="G15" s="20" t="s">
        <v>264</v>
      </c>
      <c r="H15" s="20" t="s">
        <v>254</v>
      </c>
      <c r="I15" s="25" t="n">
        <v>0.3</v>
      </c>
      <c r="J15" s="26"/>
      <c r="K15" s="27"/>
      <c r="L15" s="22" t="s">
        <v>286</v>
      </c>
      <c r="M15" s="20" t="s">
        <v>247</v>
      </c>
    </row>
    <row r="16" customFormat="false" ht="15" hidden="false" customHeight="true" outlineLevel="0" collapsed="false">
      <c r="A16" s="18" t="s">
        <v>139</v>
      </c>
      <c r="B16" s="20" t="s">
        <v>239</v>
      </c>
      <c r="C16" s="20" t="s">
        <v>249</v>
      </c>
      <c r="D16" s="20" t="s">
        <v>250</v>
      </c>
      <c r="E16" s="20" t="s">
        <v>262</v>
      </c>
      <c r="F16" s="20" t="s">
        <v>287</v>
      </c>
      <c r="G16" s="20" t="s">
        <v>288</v>
      </c>
      <c r="H16" s="20" t="s">
        <v>254</v>
      </c>
      <c r="I16" s="25" t="n">
        <v>0.21</v>
      </c>
      <c r="J16" s="26"/>
      <c r="K16" s="27"/>
      <c r="L16" s="22" t="s">
        <v>289</v>
      </c>
      <c r="M16" s="20" t="s">
        <v>247</v>
      </c>
    </row>
    <row r="17" customFormat="false" ht="15" hidden="false" customHeight="true" outlineLevel="0" collapsed="false">
      <c r="A17" s="18" t="s">
        <v>147</v>
      </c>
      <c r="B17" s="20" t="s">
        <v>239</v>
      </c>
      <c r="C17" s="20" t="s">
        <v>290</v>
      </c>
      <c r="D17" s="20" t="s">
        <v>291</v>
      </c>
      <c r="E17" s="20" t="s">
        <v>262</v>
      </c>
      <c r="F17" s="20" t="s">
        <v>277</v>
      </c>
      <c r="G17" s="20" t="s">
        <v>264</v>
      </c>
      <c r="H17" s="20" t="s">
        <v>254</v>
      </c>
      <c r="I17" s="25" t="n">
        <v>0.3</v>
      </c>
      <c r="J17" s="26"/>
      <c r="K17" s="27"/>
      <c r="L17" s="22" t="s">
        <v>292</v>
      </c>
      <c r="M17" s="20" t="s">
        <v>247</v>
      </c>
    </row>
    <row r="18" customFormat="false" ht="34.5" hidden="false" customHeight="true" outlineLevel="0" collapsed="false">
      <c r="A18" s="18" t="s">
        <v>157</v>
      </c>
      <c r="B18" s="20" t="s">
        <v>276</v>
      </c>
      <c r="C18" s="20" t="s">
        <v>249</v>
      </c>
      <c r="D18" s="20" t="s">
        <v>281</v>
      </c>
      <c r="E18" s="20" t="s">
        <v>262</v>
      </c>
      <c r="F18" s="20" t="s">
        <v>252</v>
      </c>
      <c r="G18" s="20" t="s">
        <v>293</v>
      </c>
      <c r="H18" s="20" t="s">
        <v>254</v>
      </c>
      <c r="I18" s="25" t="n">
        <v>0</v>
      </c>
      <c r="J18" s="26" t="n">
        <v>37544</v>
      </c>
      <c r="K18" s="27" t="n">
        <v>43.8</v>
      </c>
      <c r="L18" s="22" t="s">
        <v>294</v>
      </c>
      <c r="M18" s="20" t="s">
        <v>247</v>
      </c>
    </row>
    <row r="19" customFormat="false" ht="23.25" hidden="false" customHeight="true" outlineLevel="0" collapsed="false">
      <c r="A19" s="18" t="s">
        <v>165</v>
      </c>
      <c r="B19" s="20" t="s">
        <v>248</v>
      </c>
      <c r="C19" s="20" t="s">
        <v>249</v>
      </c>
      <c r="D19" s="20" t="s">
        <v>281</v>
      </c>
      <c r="E19" s="20" t="s">
        <v>262</v>
      </c>
      <c r="F19" s="20" t="s">
        <v>295</v>
      </c>
      <c r="G19" s="20" t="s">
        <v>264</v>
      </c>
      <c r="H19" s="20" t="s">
        <v>254</v>
      </c>
      <c r="I19" s="25" t="n">
        <v>0</v>
      </c>
      <c r="J19" s="26"/>
      <c r="K19" s="27"/>
      <c r="L19" s="22" t="s">
        <v>296</v>
      </c>
      <c r="M19" s="20" t="s">
        <v>247</v>
      </c>
    </row>
    <row r="20" customFormat="false" ht="15" hidden="false" customHeight="true" outlineLevel="0" collapsed="false">
      <c r="A20" s="18" t="s">
        <v>173</v>
      </c>
      <c r="B20" s="20" t="s">
        <v>276</v>
      </c>
      <c r="C20" s="20" t="s">
        <v>256</v>
      </c>
      <c r="D20" s="20" t="s">
        <v>281</v>
      </c>
      <c r="E20" s="20" t="s">
        <v>262</v>
      </c>
      <c r="F20" s="20" t="s">
        <v>252</v>
      </c>
      <c r="G20" s="20" t="s">
        <v>282</v>
      </c>
      <c r="H20" s="20" t="s">
        <v>254</v>
      </c>
      <c r="I20" s="25" t="n">
        <v>0.3</v>
      </c>
      <c r="J20" s="26"/>
      <c r="K20" s="27"/>
      <c r="L20" s="22" t="s">
        <v>297</v>
      </c>
      <c r="M20" s="20" t="s">
        <v>247</v>
      </c>
    </row>
    <row r="21" customFormat="false" ht="15" hidden="false" customHeight="true" outlineLevel="0" collapsed="false">
      <c r="A21" s="18" t="s">
        <v>182</v>
      </c>
      <c r="B21" s="20" t="s">
        <v>276</v>
      </c>
      <c r="C21" s="20" t="s">
        <v>249</v>
      </c>
      <c r="D21" s="20" t="s">
        <v>250</v>
      </c>
      <c r="E21" s="20" t="s">
        <v>262</v>
      </c>
      <c r="F21" s="20" t="s">
        <v>243</v>
      </c>
      <c r="G21" s="20" t="s">
        <v>264</v>
      </c>
      <c r="H21" s="20" t="s">
        <v>254</v>
      </c>
      <c r="I21" s="25" t="n">
        <v>0.35</v>
      </c>
      <c r="J21" s="26"/>
      <c r="K21" s="27"/>
      <c r="L21" s="22" t="s">
        <v>298</v>
      </c>
      <c r="M21" s="20" t="s">
        <v>247</v>
      </c>
    </row>
    <row r="22" customFormat="false" ht="15" hidden="false" customHeight="true" outlineLevel="0" collapsed="false">
      <c r="A22" s="18" t="s">
        <v>191</v>
      </c>
      <c r="B22" s="20" t="s">
        <v>276</v>
      </c>
      <c r="C22" s="20" t="s">
        <v>249</v>
      </c>
      <c r="D22" s="20" t="s">
        <v>250</v>
      </c>
      <c r="E22" s="20" t="s">
        <v>262</v>
      </c>
      <c r="F22" s="20" t="s">
        <v>252</v>
      </c>
      <c r="G22" s="20" t="s">
        <v>264</v>
      </c>
      <c r="H22" s="20" t="s">
        <v>254</v>
      </c>
      <c r="I22" s="25" t="n">
        <v>0.3</v>
      </c>
      <c r="J22" s="26"/>
      <c r="K22" s="27"/>
      <c r="L22" s="22" t="s">
        <v>299</v>
      </c>
      <c r="M22" s="20" t="s">
        <v>247</v>
      </c>
    </row>
    <row r="23" customFormat="false" ht="15" hidden="false" customHeight="true" outlineLevel="0" collapsed="false">
      <c r="A23" s="18" t="s">
        <v>199</v>
      </c>
      <c r="B23" s="20" t="s">
        <v>276</v>
      </c>
      <c r="C23" s="20" t="s">
        <v>249</v>
      </c>
      <c r="D23" s="20" t="s">
        <v>291</v>
      </c>
      <c r="E23" s="20" t="s">
        <v>273</v>
      </c>
      <c r="F23" s="20" t="s">
        <v>252</v>
      </c>
      <c r="G23" s="20" t="s">
        <v>264</v>
      </c>
      <c r="H23" s="20" t="s">
        <v>254</v>
      </c>
      <c r="I23" s="25" t="n">
        <v>0.35</v>
      </c>
      <c r="J23" s="26"/>
      <c r="K23" s="27"/>
      <c r="L23" s="22" t="s">
        <v>300</v>
      </c>
      <c r="M23" s="20" t="s">
        <v>247</v>
      </c>
    </row>
    <row r="24" customFormat="false" ht="15" hidden="false" customHeight="true" outlineLevel="0" collapsed="false">
      <c r="A24" s="18" t="s">
        <v>206</v>
      </c>
      <c r="B24" s="20" t="s">
        <v>276</v>
      </c>
      <c r="C24" s="20" t="s">
        <v>249</v>
      </c>
      <c r="D24" s="20" t="s">
        <v>250</v>
      </c>
      <c r="E24" s="20" t="s">
        <v>262</v>
      </c>
      <c r="F24" s="20" t="s">
        <v>252</v>
      </c>
      <c r="G24" s="20" t="s">
        <v>301</v>
      </c>
      <c r="H24" s="20" t="s">
        <v>260</v>
      </c>
      <c r="I24" s="25" t="n">
        <v>0.78</v>
      </c>
      <c r="J24" s="26"/>
      <c r="K24" s="27"/>
      <c r="L24" s="22" t="s">
        <v>302</v>
      </c>
      <c r="M24" s="20" t="s">
        <v>247</v>
      </c>
    </row>
    <row r="25" customFormat="false" ht="23.25" hidden="false" customHeight="true" outlineLevel="0" collapsed="false">
      <c r="A25" s="18" t="s">
        <v>217</v>
      </c>
      <c r="B25" s="20" t="s">
        <v>276</v>
      </c>
      <c r="C25" s="20" t="s">
        <v>249</v>
      </c>
      <c r="D25" s="20" t="s">
        <v>303</v>
      </c>
      <c r="E25" s="20" t="s">
        <v>262</v>
      </c>
      <c r="F25" s="20" t="s">
        <v>252</v>
      </c>
      <c r="G25" s="20" t="s">
        <v>304</v>
      </c>
      <c r="H25" s="20" t="s">
        <v>254</v>
      </c>
      <c r="I25" s="25" t="n">
        <v>0.21</v>
      </c>
      <c r="J25" s="26"/>
      <c r="K25" s="27"/>
      <c r="L25" s="22" t="s">
        <v>305</v>
      </c>
      <c r="M25" s="20" t="s">
        <v>247</v>
      </c>
    </row>
    <row r="27" customFormat="false" ht="15" hidden="false" customHeight="true" outlineLevel="0" collapsed="false">
      <c r="A27" s="4" t="s">
        <v>306</v>
      </c>
    </row>
    <row r="28" customFormat="false" ht="15" hidden="false" customHeight="true" outlineLevel="0" collapsed="false">
      <c r="A28" s="6" t="s">
        <v>307</v>
      </c>
      <c r="B28" s="6" t="s">
        <v>308</v>
      </c>
      <c r="L28" s="3" t="s">
        <v>309</v>
      </c>
    </row>
    <row r="29" customFormat="false" ht="15" hidden="false" customHeight="true" outlineLevel="0" collapsed="false">
      <c r="A29" s="6" t="s">
        <v>310</v>
      </c>
      <c r="B29" s="6" t="s">
        <v>311</v>
      </c>
      <c r="L29" s="3" t="s">
        <v>312</v>
      </c>
    </row>
    <row r="30" customFormat="false" ht="15" hidden="false" customHeight="true" outlineLevel="0" collapsed="false">
      <c r="A30" s="6" t="s">
        <v>313</v>
      </c>
      <c r="B30" s="6" t="s">
        <v>314</v>
      </c>
    </row>
    <row r="31" customFormat="false" ht="15" hidden="false" customHeight="true" outlineLevel="0" collapsed="false">
      <c r="A31" s="6" t="s">
        <v>315</v>
      </c>
      <c r="B31" s="6" t="s">
        <v>316</v>
      </c>
    </row>
    <row r="32" customFormat="false" ht="15" hidden="false" customHeight="true" outlineLevel="0" collapsed="false">
      <c r="A32" s="6" t="s">
        <v>317</v>
      </c>
      <c r="B32" s="6" t="s">
        <v>318</v>
      </c>
    </row>
    <row r="33" customFormat="false" ht="15" hidden="false" customHeight="true" outlineLevel="0" collapsed="false">
      <c r="A33" s="6" t="s">
        <v>319</v>
      </c>
      <c r="B33" s="6" t="s">
        <v>320</v>
      </c>
    </row>
    <row r="36" customFormat="false" ht="15" hidden="false" customHeight="true" outlineLevel="0" collapsed="false">
      <c r="A36" s="4" t="s">
        <v>321</v>
      </c>
    </row>
    <row r="37" customFormat="false" ht="31.5" hidden="false" customHeight="true" outlineLevel="0" collapsed="false">
      <c r="A37" s="28" t="s">
        <v>30</v>
      </c>
      <c r="B37" s="28" t="s">
        <v>31</v>
      </c>
      <c r="C37" s="28" t="s">
        <v>33</v>
      </c>
      <c r="D37" s="28" t="s">
        <v>322</v>
      </c>
      <c r="E37" s="28" t="s">
        <v>323</v>
      </c>
      <c r="F37" s="28" t="s">
        <v>324</v>
      </c>
      <c r="G37" s="28" t="s">
        <v>325</v>
      </c>
      <c r="H37" s="28" t="s">
        <v>326</v>
      </c>
      <c r="I37" s="28" t="s">
        <v>327</v>
      </c>
      <c r="J37" s="28" t="s">
        <v>328</v>
      </c>
    </row>
    <row r="38" customFormat="false" ht="15" hidden="false" customHeight="true" outlineLevel="0" collapsed="false">
      <c r="A38" s="29" t="str">
        <f aca="false">Raw_Data!A5</f>
        <v>Harbour Energy|2025</v>
      </c>
      <c r="B38" s="29" t="str">
        <f aca="false">Raw_Data!B5</f>
        <v>Harbour Energy</v>
      </c>
      <c r="C38" s="29" t="str">
        <f aca="false">Raw_Data!D5</f>
        <v>2025</v>
      </c>
      <c r="D38" s="30" t="n">
        <f aca="false">IF(ISNUMBER(Raw_Data!F5),Raw_Data!F5,"")</f>
        <v>536</v>
      </c>
      <c r="E38" s="30" t="n">
        <f aca="false">N(Raw_Data!H5)</f>
        <v>44</v>
      </c>
      <c r="F38" s="30" t="n">
        <f aca="false">N(Raw_Data!I5)</f>
        <v>78</v>
      </c>
      <c r="G38" s="31" t="n">
        <f aca="false">IF(ISNUMBER(D38),D38-E38-F38,"")</f>
        <v>414</v>
      </c>
      <c r="H38" s="30" t="str">
        <f aca="false">IF(ISNUMBER(Raw_Data!J5),Raw_Data!J5,"")</f>
        <v/>
      </c>
      <c r="I38" s="31" t="str">
        <f aca="false">IF(AND(ISNUMBER(H38),ISNUMBER(D38)),H38-D38,"")</f>
        <v/>
      </c>
      <c r="J38" s="18" t="str">
        <f aca="false">IF(D38="","G&amp;A not yet sourced",IF(ISNUMBER(SEARCH("Aggregator",Raw_Data!S5)),"Aggregator — verify",IF(ISNUMBER(SEARCH("excl",Raw_Data!G5))+ISNUMBER(SEARCH("Cash",Raw_Data!G5))+ISNUMBER(SEARCH("Net",Raw_Data!G5)),"Company APM definition — narrower than IFRS line","IFRS line")))</f>
        <v>IFRS line</v>
      </c>
    </row>
    <row r="39" customFormat="false" ht="15" hidden="false" customHeight="true" outlineLevel="0" collapsed="false">
      <c r="A39" s="29" t="str">
        <f aca="false">Raw_Data!A6</f>
        <v>Harbour Energy|2024</v>
      </c>
      <c r="B39" s="29" t="str">
        <f aca="false">Raw_Data!B6</f>
        <v>Harbour Energy</v>
      </c>
      <c r="C39" s="29" t="str">
        <f aca="false">Raw_Data!D6</f>
        <v>2024</v>
      </c>
      <c r="D39" s="30" t="n">
        <f aca="false">IF(ISNUMBER(Raw_Data!F6),Raw_Data!F6,"")</f>
        <v>352</v>
      </c>
      <c r="E39" s="30" t="n">
        <f aca="false">N(Raw_Data!H6)</f>
        <v>48</v>
      </c>
      <c r="F39" s="30" t="n">
        <f aca="false">N(Raw_Data!I6)</f>
        <v>119</v>
      </c>
      <c r="G39" s="31" t="n">
        <f aca="false">IF(ISNUMBER(D39),D39-E39-F39,"")</f>
        <v>185</v>
      </c>
      <c r="H39" s="30" t="str">
        <f aca="false">IF(ISNUMBER(Raw_Data!J6),Raw_Data!J6,"")</f>
        <v/>
      </c>
      <c r="I39" s="31" t="str">
        <f aca="false">IF(AND(ISNUMBER(H39),ISNUMBER(D39)),H39-D39,"")</f>
        <v/>
      </c>
      <c r="J39" s="18" t="str">
        <f aca="false">IF(D39="","G&amp;A not yet sourced",IF(ISNUMBER(SEARCH("Aggregator",Raw_Data!S6)),"Aggregator — verify",IF(ISNUMBER(SEARCH("excl",Raw_Data!G6))+ISNUMBER(SEARCH("Cash",Raw_Data!G6))+ISNUMBER(SEARCH("Net",Raw_Data!G6)),"Company APM definition — narrower than IFRS line","IFRS line")))</f>
        <v>IFRS line</v>
      </c>
    </row>
    <row r="40" customFormat="false" ht="15" hidden="false" customHeight="true" outlineLevel="0" collapsed="false">
      <c r="A40" s="29" t="str">
        <f aca="false">Raw_Data!A7</f>
        <v>Gran Tierra Energy|2025</v>
      </c>
      <c r="B40" s="29" t="str">
        <f aca="false">Raw_Data!B7</f>
        <v>Gran Tierra Energy</v>
      </c>
      <c r="C40" s="29" t="str">
        <f aca="false">Raw_Data!D7</f>
        <v>2025</v>
      </c>
      <c r="D40" s="30" t="n">
        <f aca="false">IF(ISNUMBER(Raw_Data!F7),Raw_Data!F7,"")</f>
        <v>60.087</v>
      </c>
      <c r="E40" s="30" t="n">
        <f aca="false">N(Raw_Data!H7)</f>
        <v>3.214</v>
      </c>
      <c r="F40" s="30" t="n">
        <f aca="false">N(Raw_Data!I7)</f>
        <v>0</v>
      </c>
      <c r="G40" s="31" t="n">
        <f aca="false">IF(ISNUMBER(D40),D40-E40-F40,"")</f>
        <v>56.873</v>
      </c>
      <c r="H40" s="30" t="str">
        <f aca="false">IF(ISNUMBER(Raw_Data!J7),Raw_Data!J7,"")</f>
        <v/>
      </c>
      <c r="I40" s="31" t="str">
        <f aca="false">IF(AND(ISNUMBER(H40),ISNUMBER(D40)),H40-D40,"")</f>
        <v/>
      </c>
      <c r="J40" s="18" t="str">
        <f aca="false">IF(D40="","G&amp;A not yet sourced",IF(ISNUMBER(SEARCH("Aggregator",Raw_Data!S7)),"Aggregator — verify",IF(ISNUMBER(SEARCH("excl",Raw_Data!G7))+ISNUMBER(SEARCH("Cash",Raw_Data!G7))+ISNUMBER(SEARCH("Net",Raw_Data!G7)),"Company APM definition — narrower than IFRS line","IFRS line")))</f>
        <v>IFRS line</v>
      </c>
    </row>
    <row r="41" customFormat="false" ht="15" hidden="false" customHeight="true" outlineLevel="0" collapsed="false">
      <c r="A41" s="29" t="str">
        <f aca="false">Raw_Data!A8</f>
        <v>Gran Tierra Energy|2024</v>
      </c>
      <c r="B41" s="29" t="str">
        <f aca="false">Raw_Data!B8</f>
        <v>Gran Tierra Energy</v>
      </c>
      <c r="C41" s="29" t="str">
        <f aca="false">Raw_Data!D8</f>
        <v>2024</v>
      </c>
      <c r="D41" s="30" t="n">
        <f aca="false">IF(ISNUMBER(Raw_Data!F8),Raw_Data!F8,"")</f>
        <v>51.138</v>
      </c>
      <c r="E41" s="30" t="n">
        <f aca="false">N(Raw_Data!H8)</f>
        <v>9.707</v>
      </c>
      <c r="F41" s="30" t="n">
        <f aca="false">N(Raw_Data!I8)</f>
        <v>0</v>
      </c>
      <c r="G41" s="31" t="n">
        <f aca="false">IF(ISNUMBER(D41),D41-E41-F41,"")</f>
        <v>41.431</v>
      </c>
      <c r="H41" s="30" t="str">
        <f aca="false">IF(ISNUMBER(Raw_Data!J8),Raw_Data!J8,"")</f>
        <v/>
      </c>
      <c r="I41" s="31" t="str">
        <f aca="false">IF(AND(ISNUMBER(H41),ISNUMBER(D41)),H41-D41,"")</f>
        <v/>
      </c>
      <c r="J41" s="18" t="str">
        <f aca="false">IF(D41="","G&amp;A not yet sourced",IF(ISNUMBER(SEARCH("Aggregator",Raw_Data!S8)),"Aggregator — verify",IF(ISNUMBER(SEARCH("excl",Raw_Data!G8))+ISNUMBER(SEARCH("Cash",Raw_Data!G8))+ISNUMBER(SEARCH("Net",Raw_Data!G8)),"Company APM definition — narrower than IFRS line","IFRS line")))</f>
        <v>IFRS line</v>
      </c>
    </row>
    <row r="42" customFormat="false" ht="15" hidden="false" customHeight="true" outlineLevel="0" collapsed="false">
      <c r="A42" s="29" t="str">
        <f aca="false">Raw_Data!A9</f>
        <v>EnQuest|2025</v>
      </c>
      <c r="B42" s="29" t="str">
        <f aca="false">Raw_Data!B9</f>
        <v>EnQuest</v>
      </c>
      <c r="C42" s="29" t="str">
        <f aca="false">Raw_Data!D9</f>
        <v>2025</v>
      </c>
      <c r="D42" s="30" t="n">
        <f aca="false">IF(ISNUMBER(Raw_Data!F9),Raw_Data!F9,"")</f>
        <v>7.482</v>
      </c>
      <c r="E42" s="30" t="n">
        <f aca="false">N(Raw_Data!H9)</f>
        <v>0</v>
      </c>
      <c r="F42" s="30" t="n">
        <f aca="false">N(Raw_Data!I9)</f>
        <v>0</v>
      </c>
      <c r="G42" s="31" t="n">
        <f aca="false">IF(ISNUMBER(D42),D42-E42-F42,"")</f>
        <v>7.482</v>
      </c>
      <c r="H42" s="30" t="n">
        <f aca="false">IF(ISNUMBER(Raw_Data!J9),Raw_Data!J9,"")</f>
        <v>105.122</v>
      </c>
      <c r="I42" s="31" t="n">
        <f aca="false">IF(AND(ISNUMBER(H42),ISNUMBER(D42)),H42-D42,"")</f>
        <v>97.64</v>
      </c>
      <c r="J42" s="18" t="str">
        <f aca="false">IF(D42="","G&amp;A not yet sourced",IF(ISNUMBER(SEARCH("Aggregator",Raw_Data!S9)),"Aggregator — verify",IF(ISNUMBER(SEARCH("excl",Raw_Data!G9))+ISNUMBER(SEARCH("Cash",Raw_Data!G9))+ISNUMBER(SEARCH("Net",Raw_Data!G9)),"Company APM definition — narrower than IFRS line","IFRS line")))</f>
        <v>Company APM definition — narrower than IFRS line</v>
      </c>
    </row>
    <row r="43" customFormat="false" ht="15" hidden="false" customHeight="true" outlineLevel="0" collapsed="false">
      <c r="A43" s="29" t="str">
        <f aca="false">Raw_Data!A10</f>
        <v>EnQuest|2024</v>
      </c>
      <c r="B43" s="29" t="str">
        <f aca="false">Raw_Data!B10</f>
        <v>EnQuest</v>
      </c>
      <c r="C43" s="29" t="str">
        <f aca="false">Raw_Data!D10</f>
        <v>2024</v>
      </c>
      <c r="D43" s="30" t="n">
        <f aca="false">IF(ISNUMBER(Raw_Data!F10),Raw_Data!F10,"")</f>
        <v>5.702</v>
      </c>
      <c r="E43" s="30" t="n">
        <f aca="false">N(Raw_Data!H10)</f>
        <v>0.983</v>
      </c>
      <c r="F43" s="30" t="n">
        <f aca="false">N(Raw_Data!I10)</f>
        <v>0</v>
      </c>
      <c r="G43" s="31" t="n">
        <f aca="false">IF(ISNUMBER(D43),D43-E43-F43,"")</f>
        <v>4.719</v>
      </c>
      <c r="H43" s="30" t="n">
        <f aca="false">IF(ISNUMBER(Raw_Data!J10),Raw_Data!J10,"")</f>
        <v>108.621</v>
      </c>
      <c r="I43" s="31" t="n">
        <f aca="false">IF(AND(ISNUMBER(H43),ISNUMBER(D43)),H43-D43,"")</f>
        <v>102.919</v>
      </c>
      <c r="J43" s="18" t="str">
        <f aca="false">IF(D43="","G&amp;A not yet sourced",IF(ISNUMBER(SEARCH("Aggregator",Raw_Data!S10)),"Aggregator — verify",IF(ISNUMBER(SEARCH("excl",Raw_Data!G10))+ISNUMBER(SEARCH("Cash",Raw_Data!G10))+ISNUMBER(SEARCH("Net",Raw_Data!G10)),"Company APM definition — narrower than IFRS line","IFRS line")))</f>
        <v>Company APM definition — narrower than IFRS line</v>
      </c>
    </row>
    <row r="44" customFormat="false" ht="15" hidden="false" customHeight="true" outlineLevel="0" collapsed="false">
      <c r="A44" s="29" t="str">
        <f aca="false">Raw_Data!A11</f>
        <v>Serica Energy|2025</v>
      </c>
      <c r="B44" s="29" t="str">
        <f aca="false">Raw_Data!B11</f>
        <v>Serica Energy</v>
      </c>
      <c r="C44" s="29" t="str">
        <f aca="false">Raw_Data!D11</f>
        <v>2025</v>
      </c>
      <c r="D44" s="30" t="n">
        <f aca="false">IF(ISNUMBER(Raw_Data!F11),Raw_Data!F11,"")</f>
        <v>23.075</v>
      </c>
      <c r="E44" s="30" t="n">
        <f aca="false">N(Raw_Data!H11)</f>
        <v>3.523</v>
      </c>
      <c r="F44" s="30" t="n">
        <f aca="false">N(Raw_Data!I11)</f>
        <v>0</v>
      </c>
      <c r="G44" s="31" t="n">
        <f aca="false">IF(ISNUMBER(D44),D44-E44-F44,"")</f>
        <v>19.552</v>
      </c>
      <c r="H44" s="30" t="str">
        <f aca="false">IF(ISNUMBER(Raw_Data!J11),Raw_Data!J11,"")</f>
        <v/>
      </c>
      <c r="I44" s="31" t="str">
        <f aca="false">IF(AND(ISNUMBER(H44),ISNUMBER(D44)),H44-D44,"")</f>
        <v/>
      </c>
      <c r="J44" s="18" t="str">
        <f aca="false">IF(D44="","G&amp;A not yet sourced",IF(ISNUMBER(SEARCH("Aggregator",Raw_Data!S11)),"Aggregator — verify",IF(ISNUMBER(SEARCH("excl",Raw_Data!G11))+ISNUMBER(SEARCH("Cash",Raw_Data!G11))+ISNUMBER(SEARCH("Net",Raw_Data!G11)),"Company APM definition — narrower than IFRS line","IFRS line")))</f>
        <v>IFRS line</v>
      </c>
    </row>
    <row r="45" customFormat="false" ht="15" hidden="false" customHeight="true" outlineLevel="0" collapsed="false">
      <c r="A45" s="29" t="str">
        <f aca="false">Raw_Data!A12</f>
        <v>Serica Energy|2024</v>
      </c>
      <c r="B45" s="29" t="str">
        <f aca="false">Raw_Data!B12</f>
        <v>Serica Energy</v>
      </c>
      <c r="C45" s="29" t="str">
        <f aca="false">Raw_Data!D12</f>
        <v>2024</v>
      </c>
      <c r="D45" s="30" t="n">
        <f aca="false">IF(ISNUMBER(Raw_Data!F12),Raw_Data!F12,"")</f>
        <v>21.601</v>
      </c>
      <c r="E45" s="30" t="n">
        <f aca="false">N(Raw_Data!H12)</f>
        <v>3.735</v>
      </c>
      <c r="F45" s="30" t="n">
        <f aca="false">N(Raw_Data!I12)</f>
        <v>0</v>
      </c>
      <c r="G45" s="31" t="n">
        <f aca="false">IF(ISNUMBER(D45),D45-E45-F45,"")</f>
        <v>17.866</v>
      </c>
      <c r="H45" s="30" t="str">
        <f aca="false">IF(ISNUMBER(Raw_Data!J12),Raw_Data!J12,"")</f>
        <v/>
      </c>
      <c r="I45" s="31" t="str">
        <f aca="false">IF(AND(ISNUMBER(H45),ISNUMBER(D45)),H45-D45,"")</f>
        <v/>
      </c>
      <c r="J45" s="18" t="str">
        <f aca="false">IF(D45="","G&amp;A not yet sourced",IF(ISNUMBER(SEARCH("Aggregator",Raw_Data!S12)),"Aggregator — verify",IF(ISNUMBER(SEARCH("excl",Raw_Data!G12))+ISNUMBER(SEARCH("Cash",Raw_Data!G12))+ISNUMBER(SEARCH("Net",Raw_Data!G12)),"Company APM definition — narrower than IFRS line","IFRS line")))</f>
        <v>IFRS line</v>
      </c>
    </row>
    <row r="46" customFormat="false" ht="15" hidden="false" customHeight="true" outlineLevel="0" collapsed="false">
      <c r="A46" s="29" t="str">
        <f aca="false">Raw_Data!A13</f>
        <v>Ithaca Energy|2025</v>
      </c>
      <c r="B46" s="29" t="str">
        <f aca="false">Raw_Data!B13</f>
        <v>Ithaca Energy</v>
      </c>
      <c r="C46" s="29" t="str">
        <f aca="false">Raw_Data!D13</f>
        <v>2025</v>
      </c>
      <c r="D46" s="30" t="n">
        <f aca="false">IF(ISNUMBER(Raw_Data!F13),Raw_Data!F13,"")</f>
        <v>47.3</v>
      </c>
      <c r="E46" s="30" t="n">
        <f aca="false">N(Raw_Data!H13)</f>
        <v>7.4</v>
      </c>
      <c r="F46" s="30" t="n">
        <f aca="false">N(Raw_Data!I13)</f>
        <v>3.8</v>
      </c>
      <c r="G46" s="31" t="n">
        <f aca="false">IF(ISNUMBER(D46),D46-E46-F46,"")</f>
        <v>36.1</v>
      </c>
      <c r="H46" s="30" t="str">
        <f aca="false">IF(ISNUMBER(Raw_Data!J13),Raw_Data!J13,"")</f>
        <v/>
      </c>
      <c r="I46" s="31" t="str">
        <f aca="false">IF(AND(ISNUMBER(H46),ISNUMBER(D46)),H46-D46,"")</f>
        <v/>
      </c>
      <c r="J46" s="18" t="str">
        <f aca="false">IF(D46="","G&amp;A not yet sourced",IF(ISNUMBER(SEARCH("Aggregator",Raw_Data!S13)),"Aggregator — verify",IF(ISNUMBER(SEARCH("excl",Raw_Data!G13))+ISNUMBER(SEARCH("Cash",Raw_Data!G13))+ISNUMBER(SEARCH("Net",Raw_Data!G13)),"Company APM definition — narrower than IFRS line","IFRS line")))</f>
        <v>IFRS line</v>
      </c>
    </row>
    <row r="47" customFormat="false" ht="15" hidden="false" customHeight="true" outlineLevel="0" collapsed="false">
      <c r="A47" s="29" t="str">
        <f aca="false">Raw_Data!A14</f>
        <v>Ithaca Energy|2024</v>
      </c>
      <c r="B47" s="29" t="str">
        <f aca="false">Raw_Data!B14</f>
        <v>Ithaca Energy</v>
      </c>
      <c r="C47" s="29" t="str">
        <f aca="false">Raw_Data!D14</f>
        <v>2024</v>
      </c>
      <c r="D47" s="30" t="n">
        <f aca="false">IF(ISNUMBER(Raw_Data!F14),Raw_Data!F14,"")</f>
        <v>57.3</v>
      </c>
      <c r="E47" s="30" t="n">
        <f aca="false">N(Raw_Data!H14)</f>
        <v>6.1</v>
      </c>
      <c r="F47" s="30" t="n">
        <f aca="false">N(Raw_Data!I14)</f>
        <v>16.3</v>
      </c>
      <c r="G47" s="31" t="n">
        <f aca="false">IF(ISNUMBER(D47),D47-E47-F47,"")</f>
        <v>34.9</v>
      </c>
      <c r="H47" s="30" t="str">
        <f aca="false">IF(ISNUMBER(Raw_Data!J14),Raw_Data!J14,"")</f>
        <v/>
      </c>
      <c r="I47" s="31" t="str">
        <f aca="false">IF(AND(ISNUMBER(H47),ISNUMBER(D47)),H47-D47,"")</f>
        <v/>
      </c>
      <c r="J47" s="18" t="str">
        <f aca="false">IF(D47="","G&amp;A not yet sourced",IF(ISNUMBER(SEARCH("Aggregator",Raw_Data!S14)),"Aggregator — verify",IF(ISNUMBER(SEARCH("excl",Raw_Data!G14))+ISNUMBER(SEARCH("Cash",Raw_Data!G14))+ISNUMBER(SEARCH("Net",Raw_Data!G14)),"Company APM definition — narrower than IFRS line","IFRS line")))</f>
        <v>IFRS line</v>
      </c>
    </row>
    <row r="48" customFormat="false" ht="15" hidden="false" customHeight="true" outlineLevel="0" collapsed="false">
      <c r="A48" s="29" t="str">
        <f aca="false">Raw_Data!A15</f>
        <v>Energean|2025</v>
      </c>
      <c r="B48" s="29" t="str">
        <f aca="false">Raw_Data!B15</f>
        <v>Energean</v>
      </c>
      <c r="C48" s="29" t="str">
        <f aca="false">Raw_Data!D15</f>
        <v>2025</v>
      </c>
      <c r="D48" s="30" t="n">
        <f aca="false">IF(ISNUMBER(Raw_Data!F15),Raw_Data!F15,"")</f>
        <v>53.638</v>
      </c>
      <c r="E48" s="30" t="n">
        <f aca="false">N(Raw_Data!H15)</f>
        <v>8</v>
      </c>
      <c r="F48" s="30" t="n">
        <f aca="false">N(Raw_Data!I15)</f>
        <v>0</v>
      </c>
      <c r="G48" s="31" t="n">
        <f aca="false">IF(ISNUMBER(D48),D48-E48-F48,"")</f>
        <v>45.638</v>
      </c>
      <c r="H48" s="30" t="str">
        <f aca="false">IF(ISNUMBER(Raw_Data!J15),Raw_Data!J15,"")</f>
        <v/>
      </c>
      <c r="I48" s="31" t="str">
        <f aca="false">IF(AND(ISNUMBER(H48),ISNUMBER(D48)),H48-D48,"")</f>
        <v/>
      </c>
      <c r="J48" s="18" t="str">
        <f aca="false">IF(D48="","G&amp;A not yet sourced",IF(ISNUMBER(SEARCH("Aggregator",Raw_Data!S15)),"Aggregator — verify",IF(ISNUMBER(SEARCH("excl",Raw_Data!G15))+ISNUMBER(SEARCH("Cash",Raw_Data!G15))+ISNUMBER(SEARCH("Net",Raw_Data!G15)),"Company APM definition — narrower than IFRS line","IFRS line")))</f>
        <v>IFRS line</v>
      </c>
    </row>
    <row r="49" customFormat="false" ht="15" hidden="false" customHeight="true" outlineLevel="0" collapsed="false">
      <c r="A49" s="29" t="str">
        <f aca="false">Raw_Data!A16</f>
        <v>Energean|2024</v>
      </c>
      <c r="B49" s="29" t="str">
        <f aca="false">Raw_Data!B16</f>
        <v>Energean</v>
      </c>
      <c r="C49" s="29" t="str">
        <f aca="false">Raw_Data!D16</f>
        <v>2024</v>
      </c>
      <c r="D49" s="30" t="n">
        <f aca="false">IF(ISNUMBER(Raw_Data!F16),Raw_Data!F16,"")</f>
        <v>50.98</v>
      </c>
      <c r="E49" s="30" t="n">
        <f aca="false">N(Raw_Data!H16)</f>
        <v>8</v>
      </c>
      <c r="F49" s="30" t="n">
        <f aca="false">N(Raw_Data!I16)</f>
        <v>0</v>
      </c>
      <c r="G49" s="31" t="n">
        <f aca="false">IF(ISNUMBER(D49),D49-E49-F49,"")</f>
        <v>42.98</v>
      </c>
      <c r="H49" s="30" t="str">
        <f aca="false">IF(ISNUMBER(Raw_Data!J16),Raw_Data!J16,"")</f>
        <v/>
      </c>
      <c r="I49" s="31" t="str">
        <f aca="false">IF(AND(ISNUMBER(H49),ISNUMBER(D49)),H49-D49,"")</f>
        <v/>
      </c>
      <c r="J49" s="18" t="str">
        <f aca="false">IF(D49="","G&amp;A not yet sourced",IF(ISNUMBER(SEARCH("Aggregator",Raw_Data!S16)),"Aggregator — verify",IF(ISNUMBER(SEARCH("excl",Raw_Data!G16))+ISNUMBER(SEARCH("Cash",Raw_Data!G16))+ISNUMBER(SEARCH("Net",Raw_Data!G16)),"Company APM definition — narrower than IFRS line","IFRS line")))</f>
        <v>IFRS line</v>
      </c>
    </row>
    <row r="50" customFormat="false" ht="15" hidden="false" customHeight="true" outlineLevel="0" collapsed="false">
      <c r="A50" s="29" t="str">
        <f aca="false">Raw_Data!A17</f>
        <v>Tullow Oil|2025</v>
      </c>
      <c r="B50" s="29" t="str">
        <f aca="false">Raw_Data!B17</f>
        <v>Tullow Oil</v>
      </c>
      <c r="C50" s="29" t="str">
        <f aca="false">Raw_Data!D17</f>
        <v>2025</v>
      </c>
      <c r="D50" s="30" t="n">
        <f aca="false">IF(ISNUMBER(Raw_Data!F17),Raw_Data!F17,"")</f>
        <v>45</v>
      </c>
      <c r="E50" s="30" t="n">
        <f aca="false">N(Raw_Data!H17)</f>
        <v>7.2</v>
      </c>
      <c r="F50" s="30" t="n">
        <f aca="false">N(Raw_Data!I17)</f>
        <v>0</v>
      </c>
      <c r="G50" s="31" t="n">
        <f aca="false">IF(ISNUMBER(D50),D50-E50-F50,"")</f>
        <v>37.8</v>
      </c>
      <c r="H50" s="30" t="n">
        <f aca="false">IF(ISNUMBER(Raw_Data!J17),Raw_Data!J17,"")</f>
        <v>137</v>
      </c>
      <c r="I50" s="31" t="n">
        <f aca="false">IF(AND(ISNUMBER(H50),ISNUMBER(D50)),H50-D50,"")</f>
        <v>92</v>
      </c>
      <c r="J50" s="18" t="str">
        <f aca="false">IF(D50="","G&amp;A not yet sourced",IF(ISNUMBER(SEARCH("Aggregator",Raw_Data!S17)),"Aggregator — verify",IF(ISNUMBER(SEARCH("excl",Raw_Data!G17))+ISNUMBER(SEARCH("Cash",Raw_Data!G17))+ISNUMBER(SEARCH("Net",Raw_Data!G17)),"Company APM definition — narrower than IFRS line","IFRS line")))</f>
        <v>Company APM definition — narrower than IFRS line</v>
      </c>
    </row>
    <row r="51" customFormat="false" ht="15" hidden="false" customHeight="true" outlineLevel="0" collapsed="false">
      <c r="A51" s="29" t="str">
        <f aca="false">Raw_Data!A18</f>
        <v>Tullow Oil|2024</v>
      </c>
      <c r="B51" s="29" t="str">
        <f aca="false">Raw_Data!B18</f>
        <v>Tullow Oil</v>
      </c>
      <c r="C51" s="29" t="str">
        <f aca="false">Raw_Data!D18</f>
        <v>2024</v>
      </c>
      <c r="D51" s="30" t="n">
        <f aca="false">IF(ISNUMBER(Raw_Data!F18),Raw_Data!F18,"")</f>
        <v>52.2</v>
      </c>
      <c r="E51" s="30" t="n">
        <f aca="false">N(Raw_Data!H18)</f>
        <v>6.5</v>
      </c>
      <c r="F51" s="30" t="n">
        <f aca="false">N(Raw_Data!I18)</f>
        <v>0</v>
      </c>
      <c r="G51" s="31" t="n">
        <f aca="false">IF(ISNUMBER(D51),D51-E51-F51,"")</f>
        <v>45.7</v>
      </c>
      <c r="H51" s="30" t="str">
        <f aca="false">IF(ISNUMBER(Raw_Data!J18),Raw_Data!J18,"")</f>
        <v/>
      </c>
      <c r="I51" s="31" t="str">
        <f aca="false">IF(AND(ISNUMBER(H51),ISNUMBER(D51)),H51-D51,"")</f>
        <v/>
      </c>
      <c r="J51" s="18" t="str">
        <f aca="false">IF(D51="","G&amp;A not yet sourced",IF(ISNUMBER(SEARCH("Aggregator",Raw_Data!S18)),"Aggregator — verify",IF(ISNUMBER(SEARCH("excl",Raw_Data!G18))+ISNUMBER(SEARCH("Cash",Raw_Data!G18))+ISNUMBER(SEARCH("Net",Raw_Data!G18)),"Company APM definition — narrower than IFRS line","IFRS line")))</f>
        <v>Company APM definition — narrower than IFRS line</v>
      </c>
    </row>
    <row r="52" customFormat="false" ht="15" hidden="false" customHeight="true" outlineLevel="0" collapsed="false">
      <c r="A52" s="29" t="str">
        <f aca="false">Raw_Data!A19</f>
        <v>Gulf Keystone|2025</v>
      </c>
      <c r="B52" s="29" t="str">
        <f aca="false">Raw_Data!B19</f>
        <v>Gulf Keystone</v>
      </c>
      <c r="C52" s="29" t="str">
        <f aca="false">Raw_Data!D19</f>
        <v>2025</v>
      </c>
      <c r="D52" s="30" t="n">
        <f aca="false">IF(ISNUMBER(Raw_Data!F19),Raw_Data!F19,"")</f>
        <v>16.272</v>
      </c>
      <c r="E52" s="30" t="n">
        <f aca="false">N(Raw_Data!H19)</f>
        <v>6.959</v>
      </c>
      <c r="F52" s="30" t="n">
        <f aca="false">N(Raw_Data!I19)</f>
        <v>0</v>
      </c>
      <c r="G52" s="31" t="n">
        <f aca="false">IF(ISNUMBER(D52),D52-E52-F52,"")</f>
        <v>9.313</v>
      </c>
      <c r="H52" s="30" t="str">
        <f aca="false">IF(ISNUMBER(Raw_Data!J19),Raw_Data!J19,"")</f>
        <v/>
      </c>
      <c r="I52" s="31" t="str">
        <f aca="false">IF(AND(ISNUMBER(H52),ISNUMBER(D52)),H52-D52,"")</f>
        <v/>
      </c>
      <c r="J52" s="18" t="str">
        <f aca="false">IF(D52="","G&amp;A not yet sourced",IF(ISNUMBER(SEARCH("Aggregator",Raw_Data!S19)),"Aggregator — verify",IF(ISNUMBER(SEARCH("excl",Raw_Data!G19))+ISNUMBER(SEARCH("Cash",Raw_Data!G19))+ISNUMBER(SEARCH("Net",Raw_Data!G19)),"Company APM definition — narrower than IFRS line","IFRS line")))</f>
        <v>IFRS line</v>
      </c>
    </row>
    <row r="53" customFormat="false" ht="15" hidden="false" customHeight="true" outlineLevel="0" collapsed="false">
      <c r="A53" s="29" t="str">
        <f aca="false">Raw_Data!A20</f>
        <v>Gulf Keystone|2024</v>
      </c>
      <c r="B53" s="29" t="str">
        <f aca="false">Raw_Data!B20</f>
        <v>Gulf Keystone</v>
      </c>
      <c r="C53" s="29" t="str">
        <f aca="false">Raw_Data!D20</f>
        <v>2024</v>
      </c>
      <c r="D53" s="30" t="n">
        <f aca="false">IF(ISNUMBER(Raw_Data!F20),Raw_Data!F20,"")</f>
        <v>15.831</v>
      </c>
      <c r="E53" s="30" t="n">
        <f aca="false">N(Raw_Data!H20)</f>
        <v>4.419</v>
      </c>
      <c r="F53" s="30" t="n">
        <f aca="false">N(Raw_Data!I20)</f>
        <v>0</v>
      </c>
      <c r="G53" s="31" t="n">
        <f aca="false">IF(ISNUMBER(D53),D53-E53-F53,"")</f>
        <v>11.412</v>
      </c>
      <c r="H53" s="30" t="str">
        <f aca="false">IF(ISNUMBER(Raw_Data!J20),Raw_Data!J20,"")</f>
        <v/>
      </c>
      <c r="I53" s="31" t="str">
        <f aca="false">IF(AND(ISNUMBER(H53),ISNUMBER(D53)),H53-D53,"")</f>
        <v/>
      </c>
      <c r="J53" s="18" t="str">
        <f aca="false">IF(D53="","G&amp;A not yet sourced",IF(ISNUMBER(SEARCH("Aggregator",Raw_Data!S20)),"Aggregator — verify",IF(ISNUMBER(SEARCH("excl",Raw_Data!G20))+ISNUMBER(SEARCH("Cash",Raw_Data!G20))+ISNUMBER(SEARCH("Net",Raw_Data!G20)),"Company APM definition — narrower than IFRS line","IFRS line")))</f>
        <v>IFRS line</v>
      </c>
    </row>
    <row r="54" customFormat="false" ht="15" hidden="false" customHeight="true" outlineLevel="0" collapsed="false">
      <c r="A54" s="29" t="str">
        <f aca="false">Raw_Data!A21</f>
        <v>Jadestone Energy|2025</v>
      </c>
      <c r="B54" s="29" t="str">
        <f aca="false">Raw_Data!B21</f>
        <v>Jadestone Energy</v>
      </c>
      <c r="C54" s="29" t="str">
        <f aca="false">Raw_Data!D21</f>
        <v>2025</v>
      </c>
      <c r="D54" s="30" t="n">
        <f aca="false">IF(ISNUMBER(Raw_Data!F21),Raw_Data!F21,"")</f>
        <v>23.781</v>
      </c>
      <c r="E54" s="30" t="n">
        <f aca="false">N(Raw_Data!H21)</f>
        <v>0</v>
      </c>
      <c r="F54" s="30" t="n">
        <f aca="false">N(Raw_Data!I21)</f>
        <v>0</v>
      </c>
      <c r="G54" s="31" t="n">
        <f aca="false">IF(ISNUMBER(D54),D54-E54-F54,"")</f>
        <v>23.781</v>
      </c>
      <c r="H54" s="30" t="str">
        <f aca="false">IF(ISNUMBER(Raw_Data!J21),Raw_Data!J21,"")</f>
        <v/>
      </c>
      <c r="I54" s="31" t="str">
        <f aca="false">IF(AND(ISNUMBER(H54),ISNUMBER(D54)),H54-D54,"")</f>
        <v/>
      </c>
      <c r="J54" s="18" t="str">
        <f aca="false">IF(D54="","G&amp;A not yet sourced",IF(ISNUMBER(SEARCH("Aggregator",Raw_Data!S21)),"Aggregator — verify",IF(ISNUMBER(SEARCH("excl",Raw_Data!G21))+ISNUMBER(SEARCH("Cash",Raw_Data!G21))+ISNUMBER(SEARCH("Net",Raw_Data!G21)),"Company APM definition — narrower than IFRS line","IFRS line")))</f>
        <v>IFRS line</v>
      </c>
    </row>
    <row r="55" customFormat="false" ht="15" hidden="false" customHeight="true" outlineLevel="0" collapsed="false">
      <c r="A55" s="29" t="str">
        <f aca="false">Raw_Data!A22</f>
        <v>Jadestone Energy|2024</v>
      </c>
      <c r="B55" s="29" t="str">
        <f aca="false">Raw_Data!B22</f>
        <v>Jadestone Energy</v>
      </c>
      <c r="C55" s="29" t="str">
        <f aca="false">Raw_Data!D22</f>
        <v>2024</v>
      </c>
      <c r="D55" s="30" t="n">
        <f aca="false">IF(ISNUMBER(Raw_Data!F22),Raw_Data!F22,"")</f>
        <v>24.606</v>
      </c>
      <c r="E55" s="30" t="n">
        <f aca="false">N(Raw_Data!H22)</f>
        <v>0</v>
      </c>
      <c r="F55" s="30" t="n">
        <f aca="false">N(Raw_Data!I22)</f>
        <v>0</v>
      </c>
      <c r="G55" s="31" t="n">
        <f aca="false">IF(ISNUMBER(D55),D55-E55-F55,"")</f>
        <v>24.606</v>
      </c>
      <c r="H55" s="30" t="str">
        <f aca="false">IF(ISNUMBER(Raw_Data!J22),Raw_Data!J22,"")</f>
        <v/>
      </c>
      <c r="I55" s="31" t="str">
        <f aca="false">IF(AND(ISNUMBER(H55),ISNUMBER(D55)),H55-D55,"")</f>
        <v/>
      </c>
      <c r="J55" s="18" t="str">
        <f aca="false">IF(D55="","G&amp;A not yet sourced",IF(ISNUMBER(SEARCH("Aggregator",Raw_Data!S22)),"Aggregator — verify",IF(ISNUMBER(SEARCH("excl",Raw_Data!G22))+ISNUMBER(SEARCH("Cash",Raw_Data!G22))+ISNUMBER(SEARCH("Net",Raw_Data!G22)),"Company APM definition — narrower than IFRS line","IFRS line")))</f>
        <v>IFRS line</v>
      </c>
    </row>
    <row r="56" customFormat="false" ht="15" hidden="false" customHeight="true" outlineLevel="0" collapsed="false">
      <c r="A56" s="29" t="str">
        <f aca="false">Raw_Data!A23</f>
        <v>Kistos|2025</v>
      </c>
      <c r="B56" s="29" t="str">
        <f aca="false">Raw_Data!B23</f>
        <v>Kistos</v>
      </c>
      <c r="C56" s="29" t="str">
        <f aca="false">Raw_Data!D23</f>
        <v>2025</v>
      </c>
      <c r="D56" s="30" t="str">
        <f aca="false">IF(ISNUMBER(Raw_Data!F23),Raw_Data!F23,"")</f>
        <v/>
      </c>
      <c r="E56" s="30" t="n">
        <f aca="false">N(Raw_Data!H23)</f>
        <v>0</v>
      </c>
      <c r="F56" s="30" t="n">
        <f aca="false">N(Raw_Data!I23)</f>
        <v>0</v>
      </c>
      <c r="G56" s="31" t="str">
        <f aca="false">IF(ISNUMBER(D56),D56-E56-F56,"")</f>
        <v/>
      </c>
      <c r="H56" s="30" t="str">
        <f aca="false">IF(ISNUMBER(Raw_Data!J23),Raw_Data!J23,"")</f>
        <v/>
      </c>
      <c r="I56" s="31" t="str">
        <f aca="false">IF(AND(ISNUMBER(H56),ISNUMBER(D56)),H56-D56,"")</f>
        <v/>
      </c>
      <c r="J56" s="18" t="str">
        <f aca="false">IF(D56="","G&amp;A not yet sourced",IF(ISNUMBER(SEARCH("Aggregator",Raw_Data!S23)),"Aggregator — verify",IF(ISNUMBER(SEARCH("excl",Raw_Data!G23))+ISNUMBER(SEARCH("Cash",Raw_Data!G23))+ISNUMBER(SEARCH("Net",Raw_Data!G23)),"Company APM definition — narrower than IFRS line","IFRS line")))</f>
        <v>G&amp;A not yet sourced</v>
      </c>
    </row>
    <row r="57" customFormat="false" ht="15" hidden="false" customHeight="true" outlineLevel="0" collapsed="false">
      <c r="A57" s="29" t="str">
        <f aca="false">Raw_Data!A24</f>
        <v>Kistos|2024</v>
      </c>
      <c r="B57" s="29" t="str">
        <f aca="false">Raw_Data!B24</f>
        <v>Kistos</v>
      </c>
      <c r="C57" s="29" t="str">
        <f aca="false">Raw_Data!D24</f>
        <v>2024</v>
      </c>
      <c r="D57" s="30" t="n">
        <f aca="false">IF(ISNUMBER(Raw_Data!F24),Raw_Data!F24,"")</f>
        <v>18.731</v>
      </c>
      <c r="E57" s="30" t="n">
        <f aca="false">N(Raw_Data!H24)</f>
        <v>0.553</v>
      </c>
      <c r="F57" s="30" t="n">
        <f aca="false">N(Raw_Data!I24)</f>
        <v>0</v>
      </c>
      <c r="G57" s="31" t="n">
        <f aca="false">IF(ISNUMBER(D57),D57-E57-F57,"")</f>
        <v>18.178</v>
      </c>
      <c r="H57" s="30" t="str">
        <f aca="false">IF(ISNUMBER(Raw_Data!J24),Raw_Data!J24,"")</f>
        <v/>
      </c>
      <c r="I57" s="31" t="str">
        <f aca="false">IF(AND(ISNUMBER(H57),ISNUMBER(D57)),H57-D57,"")</f>
        <v/>
      </c>
      <c r="J57" s="18" t="str">
        <f aca="false">IF(D57="","G&amp;A not yet sourced",IF(ISNUMBER(SEARCH("Aggregator",Raw_Data!S24)),"Aggregator — verify",IF(ISNUMBER(SEARCH("excl",Raw_Data!G24))+ISNUMBER(SEARCH("Cash",Raw_Data!G24))+ISNUMBER(SEARCH("Net",Raw_Data!G24)),"Company APM definition — narrower than IFRS line","IFRS line")))</f>
        <v>IFRS line</v>
      </c>
    </row>
    <row r="58" customFormat="false" ht="15" hidden="false" customHeight="true" outlineLevel="0" collapsed="false">
      <c r="A58" s="29" t="str">
        <f aca="false">Raw_Data!A25</f>
        <v>Pharos Energy|2025</v>
      </c>
      <c r="B58" s="29" t="str">
        <f aca="false">Raw_Data!B25</f>
        <v>Pharos Energy</v>
      </c>
      <c r="C58" s="29" t="str">
        <f aca="false">Raw_Data!D25</f>
        <v>2025</v>
      </c>
      <c r="D58" s="30" t="n">
        <f aca="false">IF(ISNUMBER(Raw_Data!F25),Raw_Data!F25,"")</f>
        <v>8.8</v>
      </c>
      <c r="E58" s="30" t="n">
        <f aca="false">N(Raw_Data!H25)</f>
        <v>1.6</v>
      </c>
      <c r="F58" s="30" t="n">
        <f aca="false">N(Raw_Data!I25)</f>
        <v>0</v>
      </c>
      <c r="G58" s="31" t="n">
        <f aca="false">IF(ISNUMBER(D58),D58-E58-F58,"")</f>
        <v>7.2</v>
      </c>
      <c r="H58" s="30" t="str">
        <f aca="false">IF(ISNUMBER(Raw_Data!J25),Raw_Data!J25,"")</f>
        <v/>
      </c>
      <c r="I58" s="31" t="str">
        <f aca="false">IF(AND(ISNUMBER(H58),ISNUMBER(D58)),H58-D58,"")</f>
        <v/>
      </c>
      <c r="J58" s="18" t="str">
        <f aca="false">IF(D58="","G&amp;A not yet sourced",IF(ISNUMBER(SEARCH("Aggregator",Raw_Data!S25)),"Aggregator — verify",IF(ISNUMBER(SEARCH("excl",Raw_Data!G25))+ISNUMBER(SEARCH("Cash",Raw_Data!G25))+ISNUMBER(SEARCH("Net",Raw_Data!G25)),"Company APM definition — narrower than IFRS line","IFRS line")))</f>
        <v>IFRS line</v>
      </c>
    </row>
    <row r="59" customFormat="false" ht="15" hidden="false" customHeight="true" outlineLevel="0" collapsed="false">
      <c r="A59" s="29" t="str">
        <f aca="false">Raw_Data!A26</f>
        <v>Pharos Energy|2024</v>
      </c>
      <c r="B59" s="29" t="str">
        <f aca="false">Raw_Data!B26</f>
        <v>Pharos Energy</v>
      </c>
      <c r="C59" s="29" t="str">
        <f aca="false">Raw_Data!D26</f>
        <v>2024</v>
      </c>
      <c r="D59" s="30" t="n">
        <f aca="false">IF(ISNUMBER(Raw_Data!F26),Raw_Data!F26,"")</f>
        <v>9.1</v>
      </c>
      <c r="E59" s="30" t="n">
        <f aca="false">N(Raw_Data!H26)</f>
        <v>0.9</v>
      </c>
      <c r="F59" s="30" t="n">
        <f aca="false">N(Raw_Data!I26)</f>
        <v>0.4</v>
      </c>
      <c r="G59" s="31" t="n">
        <f aca="false">IF(ISNUMBER(D59),D59-E59-F59,"")</f>
        <v>7.8</v>
      </c>
      <c r="H59" s="30" t="str">
        <f aca="false">IF(ISNUMBER(Raw_Data!J26),Raw_Data!J26,"")</f>
        <v/>
      </c>
      <c r="I59" s="31" t="str">
        <f aca="false">IF(AND(ISNUMBER(H59),ISNUMBER(D59)),H59-D59,"")</f>
        <v/>
      </c>
      <c r="J59" s="18" t="str">
        <f aca="false">IF(D59="","G&amp;A not yet sourced",IF(ISNUMBER(SEARCH("Aggregator",Raw_Data!S26)),"Aggregator — verify",IF(ISNUMBER(SEARCH("excl",Raw_Data!G26))+ISNUMBER(SEARCH("Cash",Raw_Data!G26))+ISNUMBER(SEARCH("Net",Raw_Data!G26)),"Company APM definition — narrower than IFRS line","IFRS line")))</f>
        <v>IFRS line</v>
      </c>
    </row>
    <row r="60" customFormat="false" ht="15" hidden="false" customHeight="true" outlineLevel="0" collapsed="false">
      <c r="A60" s="29" t="str">
        <f aca="false">Raw_Data!A27</f>
        <v>Diversified Energy|2025</v>
      </c>
      <c r="B60" s="29" t="str">
        <f aca="false">Raw_Data!B27</f>
        <v>Diversified Energy</v>
      </c>
      <c r="C60" s="29" t="str">
        <f aca="false">Raw_Data!D27</f>
        <v>2025</v>
      </c>
      <c r="D60" s="30" t="n">
        <f aca="false">IF(ISNUMBER(Raw_Data!F27),Raw_Data!F27,"")</f>
        <v>162</v>
      </c>
      <c r="E60" s="30" t="n">
        <f aca="false">N(Raw_Data!H27)</f>
        <v>10.4</v>
      </c>
      <c r="F60" s="30" t="n">
        <f aca="false">N(Raw_Data!I27)</f>
        <v>55.1</v>
      </c>
      <c r="G60" s="31" t="n">
        <f aca="false">IF(ISNUMBER(D60),D60-E60-F60,"")</f>
        <v>96.5</v>
      </c>
      <c r="H60" s="30" t="str">
        <f aca="false">IF(ISNUMBER(Raw_Data!J27),Raw_Data!J27,"")</f>
        <v/>
      </c>
      <c r="I60" s="31" t="str">
        <f aca="false">IF(AND(ISNUMBER(H60),ISNUMBER(D60)),H60-D60,"")</f>
        <v/>
      </c>
      <c r="J60" s="18" t="str">
        <f aca="false">IF(D60="","G&amp;A not yet sourced",IF(ISNUMBER(SEARCH("Aggregator",Raw_Data!S27)),"Aggregator — verify",IF(ISNUMBER(SEARCH("excl",Raw_Data!G27))+ISNUMBER(SEARCH("Cash",Raw_Data!G27))+ISNUMBER(SEARCH("Net",Raw_Data!G27)),"Company APM definition — narrower than IFRS line","IFRS line")))</f>
        <v>IFRS line</v>
      </c>
    </row>
    <row r="61" customFormat="false" ht="15" hidden="false" customHeight="true" outlineLevel="0" collapsed="false">
      <c r="A61" s="29" t="str">
        <f aca="false">Raw_Data!A28</f>
        <v>Diversified Energy|2024</v>
      </c>
      <c r="B61" s="29" t="str">
        <f aca="false">Raw_Data!B28</f>
        <v>Diversified Energy</v>
      </c>
      <c r="C61" s="29" t="str">
        <f aca="false">Raw_Data!D28</f>
        <v>2024</v>
      </c>
      <c r="D61" s="30" t="n">
        <f aca="false">IF(ISNUMBER(Raw_Data!F28),Raw_Data!F28,"")</f>
        <v>129.1</v>
      </c>
      <c r="E61" s="30" t="n">
        <f aca="false">N(Raw_Data!H28)</f>
        <v>8.3</v>
      </c>
      <c r="F61" s="30" t="n">
        <f aca="false">N(Raw_Data!I28)</f>
        <v>34</v>
      </c>
      <c r="G61" s="31" t="n">
        <f aca="false">IF(ISNUMBER(D61),D61-E61-F61,"")</f>
        <v>86.8</v>
      </c>
      <c r="H61" s="30" t="str">
        <f aca="false">IF(ISNUMBER(Raw_Data!J28),Raw_Data!J28,"")</f>
        <v/>
      </c>
      <c r="I61" s="31" t="str">
        <f aca="false">IF(AND(ISNUMBER(H61),ISNUMBER(D61)),H61-D61,"")</f>
        <v/>
      </c>
      <c r="J61" s="18" t="str">
        <f aca="false">IF(D61="","G&amp;A not yet sourced",IF(ISNUMBER(SEARCH("Aggregator",Raw_Data!S28)),"Aggregator — verify",IF(ISNUMBER(SEARCH("excl",Raw_Data!G28))+ISNUMBER(SEARCH("Cash",Raw_Data!G28))+ISNUMBER(SEARCH("Net",Raw_Data!G28)),"Company APM definition — narrower than IFRS line","IFRS line")))</f>
        <v>IFRS line</v>
      </c>
    </row>
    <row r="62" customFormat="false" ht="15" hidden="false" customHeight="true" outlineLevel="0" collapsed="false">
      <c r="A62" s="29" t="str">
        <f aca="false">Raw_Data!A29</f>
        <v>Seplat Energy|2025</v>
      </c>
      <c r="B62" s="29" t="str">
        <f aca="false">Raw_Data!B29</f>
        <v>Seplat Energy</v>
      </c>
      <c r="C62" s="29" t="str">
        <f aca="false">Raw_Data!D29</f>
        <v>2025</v>
      </c>
      <c r="D62" s="30" t="n">
        <f aca="false">IF(ISNUMBER(Raw_Data!F29),Raw_Data!F29,"")</f>
        <v>249.5</v>
      </c>
      <c r="E62" s="30" t="n">
        <f aca="false">N(Raw_Data!H29)</f>
        <v>0</v>
      </c>
      <c r="F62" s="30" t="n">
        <f aca="false">N(Raw_Data!I29)</f>
        <v>0</v>
      </c>
      <c r="G62" s="31" t="n">
        <f aca="false">IF(ISNUMBER(D62),D62-E62-F62,"")</f>
        <v>249.5</v>
      </c>
      <c r="H62" s="30" t="str">
        <f aca="false">IF(ISNUMBER(Raw_Data!J29),Raw_Data!J29,"")</f>
        <v/>
      </c>
      <c r="I62" s="31" t="str">
        <f aca="false">IF(AND(ISNUMBER(H62),ISNUMBER(D62)),H62-D62,"")</f>
        <v/>
      </c>
      <c r="J62" s="18" t="str">
        <f aca="false">IF(D62="","G&amp;A not yet sourced",IF(ISNUMBER(SEARCH("Aggregator",Raw_Data!S29)),"Aggregator — verify",IF(ISNUMBER(SEARCH("excl",Raw_Data!G29))+ISNUMBER(SEARCH("Cash",Raw_Data!G29))+ISNUMBER(SEARCH("Net",Raw_Data!G29)),"Company APM definition — narrower than IFRS line","IFRS line")))</f>
        <v>IFRS line</v>
      </c>
    </row>
    <row r="63" customFormat="false" ht="15" hidden="false" customHeight="true" outlineLevel="0" collapsed="false">
      <c r="A63" s="29" t="str">
        <f aca="false">Raw_Data!A30</f>
        <v>Seplat Energy|2024</v>
      </c>
      <c r="B63" s="29" t="str">
        <f aca="false">Raw_Data!B30</f>
        <v>Seplat Energy</v>
      </c>
      <c r="C63" s="29" t="str">
        <f aca="false">Raw_Data!D30</f>
        <v>2024</v>
      </c>
      <c r="D63" s="30" t="n">
        <f aca="false">IF(ISNUMBER(Raw_Data!F30),Raw_Data!F30,"")</f>
        <v>145.7</v>
      </c>
      <c r="E63" s="30" t="n">
        <f aca="false">N(Raw_Data!H30)</f>
        <v>19.5</v>
      </c>
      <c r="F63" s="30" t="n">
        <f aca="false">N(Raw_Data!I30)</f>
        <v>0</v>
      </c>
      <c r="G63" s="31" t="n">
        <f aca="false">IF(ISNUMBER(D63),D63-E63-F63,"")</f>
        <v>126.2</v>
      </c>
      <c r="H63" s="30" t="str">
        <f aca="false">IF(ISNUMBER(Raw_Data!J30),Raw_Data!J30,"")</f>
        <v/>
      </c>
      <c r="I63" s="31" t="str">
        <f aca="false">IF(AND(ISNUMBER(H63),ISNUMBER(D63)),H63-D63,"")</f>
        <v/>
      </c>
      <c r="J63" s="18" t="str">
        <f aca="false">IF(D63="","G&amp;A not yet sourced",IF(ISNUMBER(SEARCH("Aggregator",Raw_Data!S30)),"Aggregator — verify",IF(ISNUMBER(SEARCH("excl",Raw_Data!G30))+ISNUMBER(SEARCH("Cash",Raw_Data!G30))+ISNUMBER(SEARCH("Net",Raw_Data!G30)),"Company APM definition — narrower than IFRS line","IFRS line")))</f>
        <v>Aggregator — verify</v>
      </c>
    </row>
    <row r="64" customFormat="false" ht="15" hidden="false" customHeight="true" outlineLevel="0" collapsed="false">
      <c r="A64" s="29" t="str">
        <f aca="false">Raw_Data!A31</f>
        <v>Genel Energy|2025</v>
      </c>
      <c r="B64" s="29" t="str">
        <f aca="false">Raw_Data!B31</f>
        <v>Genel Energy</v>
      </c>
      <c r="C64" s="29" t="str">
        <f aca="false">Raw_Data!D31</f>
        <v>2025</v>
      </c>
      <c r="D64" s="30" t="n">
        <f aca="false">IF(ISNUMBER(Raw_Data!F31),Raw_Data!F31,"")</f>
        <v>18.9</v>
      </c>
      <c r="E64" s="30" t="n">
        <f aca="false">N(Raw_Data!H31)</f>
        <v>1.9</v>
      </c>
      <c r="F64" s="30" t="n">
        <f aca="false">N(Raw_Data!I31)</f>
        <v>0</v>
      </c>
      <c r="G64" s="31" t="n">
        <f aca="false">IF(ISNUMBER(D64),D64-E64-F64,"")</f>
        <v>17</v>
      </c>
      <c r="H64" s="30" t="str">
        <f aca="false">IF(ISNUMBER(Raw_Data!J31),Raw_Data!J31,"")</f>
        <v/>
      </c>
      <c r="I64" s="31" t="str">
        <f aca="false">IF(AND(ISNUMBER(H64),ISNUMBER(D64)),H64-D64,"")</f>
        <v/>
      </c>
      <c r="J64" s="18" t="str">
        <f aca="false">IF(D64="","G&amp;A not yet sourced",IF(ISNUMBER(SEARCH("Aggregator",Raw_Data!S31)),"Aggregator — verify",IF(ISNUMBER(SEARCH("excl",Raw_Data!G31))+ISNUMBER(SEARCH("Cash",Raw_Data!G31))+ISNUMBER(SEARCH("Net",Raw_Data!G31)),"Company APM definition — narrower than IFRS line","IFRS line")))</f>
        <v>IFRS line</v>
      </c>
    </row>
    <row r="65" customFormat="false" ht="15" hidden="false" customHeight="true" outlineLevel="0" collapsed="false">
      <c r="A65" s="29" t="str">
        <f aca="false">Raw_Data!A32</f>
        <v>Genel Energy|2024</v>
      </c>
      <c r="B65" s="29" t="str">
        <f aca="false">Raw_Data!B32</f>
        <v>Genel Energy</v>
      </c>
      <c r="C65" s="29" t="str">
        <f aca="false">Raw_Data!D32</f>
        <v>2024</v>
      </c>
      <c r="D65" s="30" t="n">
        <f aca="false">IF(ISNUMBER(Raw_Data!F32),Raw_Data!F32,"")</f>
        <v>23.9</v>
      </c>
      <c r="E65" s="30" t="n">
        <f aca="false">N(Raw_Data!H32)</f>
        <v>1.9</v>
      </c>
      <c r="F65" s="30" t="n">
        <f aca="false">N(Raw_Data!I32)</f>
        <v>0</v>
      </c>
      <c r="G65" s="31" t="n">
        <f aca="false">IF(ISNUMBER(D65),D65-E65-F65,"")</f>
        <v>22</v>
      </c>
      <c r="H65" s="30" t="str">
        <f aca="false">IF(ISNUMBER(Raw_Data!J32),Raw_Data!J32,"")</f>
        <v/>
      </c>
      <c r="I65" s="31" t="str">
        <f aca="false">IF(AND(ISNUMBER(H65),ISNUMBER(D65)),H65-D65,"")</f>
        <v/>
      </c>
      <c r="J65" s="18" t="str">
        <f aca="false">IF(D65="","G&amp;A not yet sourced",IF(ISNUMBER(SEARCH("Aggregator",Raw_Data!S32)),"Aggregator — verify",IF(ISNUMBER(SEARCH("excl",Raw_Data!G32))+ISNUMBER(SEARCH("Cash",Raw_Data!G32))+ISNUMBER(SEARCH("Net",Raw_Data!G32)),"Company APM definition — narrower than IFRS line","IFRS line")))</f>
        <v>IFRS line</v>
      </c>
    </row>
    <row r="66" customFormat="false" ht="15" hidden="false" customHeight="true" outlineLevel="0" collapsed="false">
      <c r="A66" s="29" t="str">
        <f aca="false">Raw_Data!A33</f>
        <v>Capricorn Energy|2025</v>
      </c>
      <c r="B66" s="29" t="str">
        <f aca="false">Raw_Data!B33</f>
        <v>Capricorn Energy</v>
      </c>
      <c r="C66" s="29" t="str">
        <f aca="false">Raw_Data!D33</f>
        <v>2025</v>
      </c>
      <c r="D66" s="30" t="n">
        <f aca="false">IF(ISNUMBER(Raw_Data!F33),Raw_Data!F33,"")</f>
        <v>24.9</v>
      </c>
      <c r="E66" s="30" t="n">
        <f aca="false">N(Raw_Data!H33)</f>
        <v>2.2</v>
      </c>
      <c r="F66" s="30" t="n">
        <f aca="false">N(Raw_Data!I33)</f>
        <v>2</v>
      </c>
      <c r="G66" s="31" t="n">
        <f aca="false">IF(ISNUMBER(D66),D66-E66-F66,"")</f>
        <v>20.7</v>
      </c>
      <c r="H66" s="30" t="str">
        <f aca="false">IF(ISNUMBER(Raw_Data!J33),Raw_Data!J33,"")</f>
        <v/>
      </c>
      <c r="I66" s="31" t="str">
        <f aca="false">IF(AND(ISNUMBER(H66),ISNUMBER(D66)),H66-D66,"")</f>
        <v/>
      </c>
      <c r="J66" s="18" t="str">
        <f aca="false">IF(D66="","G&amp;A not yet sourced",IF(ISNUMBER(SEARCH("Aggregator",Raw_Data!S33)),"Aggregator — verify",IF(ISNUMBER(SEARCH("excl",Raw_Data!G33))+ISNUMBER(SEARCH("Cash",Raw_Data!G33))+ISNUMBER(SEARCH("Net",Raw_Data!G33)),"Company APM definition — narrower than IFRS line","IFRS line")))</f>
        <v>IFRS line</v>
      </c>
    </row>
    <row r="67" customFormat="false" ht="15" hidden="false" customHeight="true" outlineLevel="0" collapsed="false">
      <c r="A67" s="29" t="str">
        <f aca="false">Raw_Data!A34</f>
        <v>Capricorn Energy|2024</v>
      </c>
      <c r="B67" s="29" t="str">
        <f aca="false">Raw_Data!B34</f>
        <v>Capricorn Energy</v>
      </c>
      <c r="C67" s="29" t="str">
        <f aca="false">Raw_Data!D34</f>
        <v>2024</v>
      </c>
      <c r="D67" s="30" t="n">
        <f aca="false">IF(ISNUMBER(Raw_Data!F34),Raw_Data!F34,"")</f>
        <v>23.9</v>
      </c>
      <c r="E67" s="30" t="n">
        <f aca="false">N(Raw_Data!H34)</f>
        <v>1.9</v>
      </c>
      <c r="F67" s="30" t="n">
        <f aca="false">N(Raw_Data!I34)</f>
        <v>2</v>
      </c>
      <c r="G67" s="31" t="n">
        <f aca="false">IF(ISNUMBER(D67),D67-E67-F67,"")</f>
        <v>20</v>
      </c>
      <c r="H67" s="30" t="str">
        <f aca="false">IF(ISNUMBER(Raw_Data!J34),Raw_Data!J34,"")</f>
        <v/>
      </c>
      <c r="I67" s="31" t="str">
        <f aca="false">IF(AND(ISNUMBER(H67),ISNUMBER(D67)),H67-D67,"")</f>
        <v/>
      </c>
      <c r="J67" s="18" t="str">
        <f aca="false">IF(D67="","G&amp;A not yet sourced",IF(ISNUMBER(SEARCH("Aggregator",Raw_Data!S34)),"Aggregator — verify",IF(ISNUMBER(SEARCH("excl",Raw_Data!G34))+ISNUMBER(SEARCH("Cash",Raw_Data!G34))+ISNUMBER(SEARCH("Net",Raw_Data!G34)),"Company APM definition — narrower than IFRS line","IFRS line")))</f>
        <v>IFRS line</v>
      </c>
    </row>
    <row r="68" customFormat="false" ht="15" hidden="false" customHeight="true" outlineLevel="0" collapsed="false">
      <c r="A68" s="29" t="str">
        <f aca="false">Raw_Data!A35</f>
        <v>Afentra|2025</v>
      </c>
      <c r="B68" s="29" t="str">
        <f aca="false">Raw_Data!B35</f>
        <v>Afentra</v>
      </c>
      <c r="C68" s="29" t="str">
        <f aca="false">Raw_Data!D35</f>
        <v>2025</v>
      </c>
      <c r="D68" s="30" t="n">
        <f aca="false">IF(ISNUMBER(Raw_Data!F35),Raw_Data!F35,"")</f>
        <v>15.29</v>
      </c>
      <c r="E68" s="30" t="n">
        <f aca="false">N(Raw_Data!H35)</f>
        <v>1.87</v>
      </c>
      <c r="F68" s="30" t="n">
        <f aca="false">N(Raw_Data!I35)</f>
        <v>1.56</v>
      </c>
      <c r="G68" s="31" t="n">
        <f aca="false">IF(ISNUMBER(D68),D68-E68-F68,"")</f>
        <v>11.86</v>
      </c>
      <c r="H68" s="30" t="str">
        <f aca="false">IF(ISNUMBER(Raw_Data!J35),Raw_Data!J35,"")</f>
        <v/>
      </c>
      <c r="I68" s="31" t="str">
        <f aca="false">IF(AND(ISNUMBER(H68),ISNUMBER(D68)),H68-D68,"")</f>
        <v/>
      </c>
      <c r="J68" s="18" t="str">
        <f aca="false">IF(D68="","G&amp;A not yet sourced",IF(ISNUMBER(SEARCH("Aggregator",Raw_Data!S35)),"Aggregator — verify",IF(ISNUMBER(SEARCH("excl",Raw_Data!G35))+ISNUMBER(SEARCH("Cash",Raw_Data!G35))+ISNUMBER(SEARCH("Net",Raw_Data!G35)),"Company APM definition — narrower than IFRS line","IFRS line")))</f>
        <v>IFRS line</v>
      </c>
    </row>
    <row r="69" customFormat="false" ht="15" hidden="false" customHeight="true" outlineLevel="0" collapsed="false">
      <c r="A69" s="29" t="str">
        <f aca="false">Raw_Data!A36</f>
        <v>Afentra|2024</v>
      </c>
      <c r="B69" s="29" t="str">
        <f aca="false">Raw_Data!B36</f>
        <v>Afentra</v>
      </c>
      <c r="C69" s="29" t="str">
        <f aca="false">Raw_Data!D36</f>
        <v>2024</v>
      </c>
      <c r="D69" s="30" t="n">
        <f aca="false">IF(ISNUMBER(Raw_Data!F36),Raw_Data!F36,"")</f>
        <v>12.27</v>
      </c>
      <c r="E69" s="30" t="n">
        <f aca="false">N(Raw_Data!H36)</f>
        <v>0.99</v>
      </c>
      <c r="F69" s="30" t="n">
        <f aca="false">N(Raw_Data!I36)</f>
        <v>1.83</v>
      </c>
      <c r="G69" s="31" t="n">
        <f aca="false">IF(ISNUMBER(D69),D69-E69-F69,"")</f>
        <v>9.45</v>
      </c>
      <c r="H69" s="30" t="str">
        <f aca="false">IF(ISNUMBER(Raw_Data!J36),Raw_Data!J36,"")</f>
        <v/>
      </c>
      <c r="I69" s="31" t="str">
        <f aca="false">IF(AND(ISNUMBER(H69),ISNUMBER(D69)),H69-D69,"")</f>
        <v/>
      </c>
      <c r="J69" s="18" t="str">
        <f aca="false">IF(D69="","G&amp;A not yet sourced",IF(ISNUMBER(SEARCH("Aggregator",Raw_Data!S36)),"Aggregator — verify",IF(ISNUMBER(SEARCH("excl",Raw_Data!G36))+ISNUMBER(SEARCH("Cash",Raw_Data!G36))+ISNUMBER(SEARCH("Net",Raw_Data!G36)),"Company APM definition — narrower than IFRS line","IFRS line")))</f>
        <v>IFRS line</v>
      </c>
    </row>
    <row r="70" customFormat="false" ht="15" hidden="false" customHeight="true" outlineLevel="0" collapsed="false">
      <c r="A70" s="29" t="str">
        <f aca="false">Raw_Data!A37</f>
        <v>Touchstone Exploration|2025</v>
      </c>
      <c r="B70" s="29" t="str">
        <f aca="false">Raw_Data!B37</f>
        <v>Touchstone Exploration</v>
      </c>
      <c r="C70" s="29" t="str">
        <f aca="false">Raw_Data!D37</f>
        <v>2025</v>
      </c>
      <c r="D70" s="30" t="n">
        <f aca="false">IF(ISNUMBER(Raw_Data!F37),Raw_Data!F37,"")</f>
        <v>9.82</v>
      </c>
      <c r="E70" s="30" t="n">
        <f aca="false">N(Raw_Data!H37)</f>
        <v>0</v>
      </c>
      <c r="F70" s="30" t="n">
        <f aca="false">N(Raw_Data!I37)</f>
        <v>0</v>
      </c>
      <c r="G70" s="31" t="n">
        <f aca="false">IF(ISNUMBER(D70),D70-E70-F70,"")</f>
        <v>9.82</v>
      </c>
      <c r="H70" s="30" t="n">
        <f aca="false">IF(ISNUMBER(Raw_Data!J37),Raw_Data!J37,"")</f>
        <v>10.22</v>
      </c>
      <c r="I70" s="31" t="n">
        <f aca="false">IF(AND(ISNUMBER(H70),ISNUMBER(D70)),H70-D70,"")</f>
        <v>0.4</v>
      </c>
      <c r="J70" s="18" t="str">
        <f aca="false">IF(D70="","G&amp;A not yet sourced",IF(ISNUMBER(SEARCH("Aggregator",Raw_Data!S37)),"Aggregator — verify",IF(ISNUMBER(SEARCH("excl",Raw_Data!G37))+ISNUMBER(SEARCH("Cash",Raw_Data!G37))+ISNUMBER(SEARCH("Net",Raw_Data!G37)),"Company APM definition — narrower than IFRS line","IFRS line")))</f>
        <v>Company APM definition — narrower than IFRS line</v>
      </c>
    </row>
    <row r="71" customFormat="false" ht="15" hidden="false" customHeight="true" outlineLevel="0" collapsed="false">
      <c r="A71" s="29" t="str">
        <f aca="false">Raw_Data!A38</f>
        <v>Touchstone Exploration|2024</v>
      </c>
      <c r="B71" s="29" t="str">
        <f aca="false">Raw_Data!B38</f>
        <v>Touchstone Exploration</v>
      </c>
      <c r="C71" s="29" t="str">
        <f aca="false">Raw_Data!D38</f>
        <v>2024</v>
      </c>
      <c r="D71" s="30" t="n">
        <f aca="false">IF(ISNUMBER(Raw_Data!F38),Raw_Data!F38,"")</f>
        <v>10.15</v>
      </c>
      <c r="E71" s="30" t="n">
        <f aca="false">N(Raw_Data!H38)</f>
        <v>0</v>
      </c>
      <c r="F71" s="30" t="n">
        <f aca="false">N(Raw_Data!I38)</f>
        <v>0</v>
      </c>
      <c r="G71" s="31" t="n">
        <f aca="false">IF(ISNUMBER(D71),D71-E71-F71,"")</f>
        <v>10.15</v>
      </c>
      <c r="H71" s="30" t="n">
        <f aca="false">IF(ISNUMBER(Raw_Data!J38),Raw_Data!J38,"")</f>
        <v>10.69</v>
      </c>
      <c r="I71" s="31" t="n">
        <f aca="false">IF(AND(ISNUMBER(H71),ISNUMBER(D71)),H71-D71,"")</f>
        <v>0.539999999999999</v>
      </c>
      <c r="J71" s="18" t="str">
        <f aca="false">IF(D71="","G&amp;A not yet sourced",IF(ISNUMBER(SEARCH("Aggregator",Raw_Data!S38)),"Aggregator — verify",IF(ISNUMBER(SEARCH("excl",Raw_Data!G38))+ISNUMBER(SEARCH("Cash",Raw_Data!G38))+ISNUMBER(SEARCH("Net",Raw_Data!G38)),"Company APM definition — narrower than IFRS line","IFRS line")))</f>
        <v>IFRS line</v>
      </c>
    </row>
    <row r="72" customFormat="false" ht="15" hidden="false" customHeight="true" outlineLevel="0" collapsed="false">
      <c r="A72" s="29" t="str">
        <f aca="false">Raw_Data!A39</f>
        <v>PetroTal|2025</v>
      </c>
      <c r="B72" s="29" t="str">
        <f aca="false">Raw_Data!B39</f>
        <v>PetroTal</v>
      </c>
      <c r="C72" s="29" t="str">
        <f aca="false">Raw_Data!D39</f>
        <v>2025</v>
      </c>
      <c r="D72" s="30" t="n">
        <f aca="false">IF(ISNUMBER(Raw_Data!F39),Raw_Data!F39,"")</f>
        <v>29.5</v>
      </c>
      <c r="E72" s="30" t="n">
        <f aca="false">N(Raw_Data!H39)</f>
        <v>0</v>
      </c>
      <c r="F72" s="30" t="n">
        <f aca="false">N(Raw_Data!I39)</f>
        <v>0</v>
      </c>
      <c r="G72" s="31" t="n">
        <f aca="false">IF(ISNUMBER(D72),D72-E72-F72,"")</f>
        <v>29.5</v>
      </c>
      <c r="H72" s="30" t="str">
        <f aca="false">IF(ISNUMBER(Raw_Data!J39),Raw_Data!J39,"")</f>
        <v/>
      </c>
      <c r="I72" s="31" t="str">
        <f aca="false">IF(AND(ISNUMBER(H72),ISNUMBER(D72)),H72-D72,"")</f>
        <v/>
      </c>
      <c r="J72" s="18" t="str">
        <f aca="false">IF(D72="","G&amp;A not yet sourced",IF(ISNUMBER(SEARCH("Aggregator",Raw_Data!S39)),"Aggregator — verify",IF(ISNUMBER(SEARCH("excl",Raw_Data!G39))+ISNUMBER(SEARCH("Cash",Raw_Data!G39))+ISNUMBER(SEARCH("Net",Raw_Data!G39)),"Company APM definition — narrower than IFRS line","IFRS line")))</f>
        <v>IFRS line</v>
      </c>
    </row>
    <row r="73" customFormat="false" ht="15" hidden="false" customHeight="true" outlineLevel="0" collapsed="false">
      <c r="A73" s="29" t="str">
        <f aca="false">Raw_Data!A40</f>
        <v>PetroTal|2024</v>
      </c>
      <c r="B73" s="29" t="str">
        <f aca="false">Raw_Data!B40</f>
        <v>PetroTal</v>
      </c>
      <c r="C73" s="29" t="str">
        <f aca="false">Raw_Data!D40</f>
        <v>2024</v>
      </c>
      <c r="D73" s="30" t="n">
        <f aca="false">IF(ISNUMBER(Raw_Data!F40),Raw_Data!F40,"")</f>
        <v>36.29</v>
      </c>
      <c r="E73" s="30" t="n">
        <f aca="false">N(Raw_Data!H40)</f>
        <v>0</v>
      </c>
      <c r="F73" s="30" t="n">
        <f aca="false">N(Raw_Data!I40)</f>
        <v>0</v>
      </c>
      <c r="G73" s="31" t="n">
        <f aca="false">IF(ISNUMBER(D73),D73-E73-F73,"")</f>
        <v>36.29</v>
      </c>
      <c r="H73" s="30" t="str">
        <f aca="false">IF(ISNUMBER(Raw_Data!J40),Raw_Data!J40,"")</f>
        <v/>
      </c>
      <c r="I73" s="31" t="str">
        <f aca="false">IF(AND(ISNUMBER(H73),ISNUMBER(D73)),H73-D73,"")</f>
        <v/>
      </c>
      <c r="J73" s="18" t="str">
        <f aca="false">IF(D73="","G&amp;A not yet sourced",IF(ISNUMBER(SEARCH("Aggregator",Raw_Data!S40)),"Aggregator — verify",IF(ISNUMBER(SEARCH("excl",Raw_Data!G40))+ISNUMBER(SEARCH("Cash",Raw_Data!G40))+ISNUMBER(SEARCH("Net",Raw_Data!G40)),"Company APM definition — narrower than IFRS line","IFRS line")))</f>
        <v>IFRS line</v>
      </c>
    </row>
    <row r="74" customFormat="false" ht="15" hidden="false" customHeight="true" outlineLevel="0" collapsed="false">
      <c r="A74" s="29" t="str">
        <f aca="false">Raw_Data!A41</f>
        <v>Arrow Exploration|2025</v>
      </c>
      <c r="B74" s="29" t="str">
        <f aca="false">Raw_Data!B41</f>
        <v>Arrow Exploration</v>
      </c>
      <c r="C74" s="29" t="str">
        <f aca="false">Raw_Data!D41</f>
        <v>2025</v>
      </c>
      <c r="D74" s="30" t="n">
        <f aca="false">IF(ISNUMBER(Raw_Data!F41),Raw_Data!F41,"")</f>
        <v>11.94</v>
      </c>
      <c r="E74" s="30" t="n">
        <f aca="false">N(Raw_Data!H41)</f>
        <v>0</v>
      </c>
      <c r="F74" s="30" t="n">
        <f aca="false">N(Raw_Data!I41)</f>
        <v>0</v>
      </c>
      <c r="G74" s="31" t="n">
        <f aca="false">IF(ISNUMBER(D74),D74-E74-F74,"")</f>
        <v>11.94</v>
      </c>
      <c r="H74" s="30" t="str">
        <f aca="false">IF(ISNUMBER(Raw_Data!J41),Raw_Data!J41,"")</f>
        <v/>
      </c>
      <c r="I74" s="31" t="str">
        <f aca="false">IF(AND(ISNUMBER(H74),ISNUMBER(D74)),H74-D74,"")</f>
        <v/>
      </c>
      <c r="J74" s="18" t="str">
        <f aca="false">IF(D74="","G&amp;A not yet sourced",IF(ISNUMBER(SEARCH("Aggregator",Raw_Data!S41)),"Aggregator — verify",IF(ISNUMBER(SEARCH("excl",Raw_Data!G41))+ISNUMBER(SEARCH("Cash",Raw_Data!G41))+ISNUMBER(SEARCH("Net",Raw_Data!G41)),"Company APM definition — narrower than IFRS line","IFRS line")))</f>
        <v>IFRS line</v>
      </c>
    </row>
    <row r="75" customFormat="false" ht="15" hidden="false" customHeight="true" outlineLevel="0" collapsed="false">
      <c r="A75" s="29" t="str">
        <f aca="false">Raw_Data!A42</f>
        <v>Arrow Exploration|2024</v>
      </c>
      <c r="B75" s="29" t="str">
        <f aca="false">Raw_Data!B42</f>
        <v>Arrow Exploration</v>
      </c>
      <c r="C75" s="29" t="str">
        <f aca="false">Raw_Data!D42</f>
        <v>2024</v>
      </c>
      <c r="D75" s="30" t="n">
        <f aca="false">IF(ISNUMBER(Raw_Data!F42),Raw_Data!F42,"")</f>
        <v>12.88</v>
      </c>
      <c r="E75" s="30" t="n">
        <f aca="false">N(Raw_Data!H42)</f>
        <v>0</v>
      </c>
      <c r="F75" s="30" t="n">
        <f aca="false">N(Raw_Data!I42)</f>
        <v>0</v>
      </c>
      <c r="G75" s="31" t="n">
        <f aca="false">IF(ISNUMBER(D75),D75-E75-F75,"")</f>
        <v>12.88</v>
      </c>
      <c r="H75" s="30" t="str">
        <f aca="false">IF(ISNUMBER(Raw_Data!J42),Raw_Data!J42,"")</f>
        <v/>
      </c>
      <c r="I75" s="31" t="str">
        <f aca="false">IF(AND(ISNUMBER(H75),ISNUMBER(D75)),H75-D75,"")</f>
        <v/>
      </c>
      <c r="J75" s="18" t="str">
        <f aca="false">IF(D75="","G&amp;A not yet sourced",IF(ISNUMBER(SEARCH("Aggregator",Raw_Data!S42)),"Aggregator — verify",IF(ISNUMBER(SEARCH("excl",Raw_Data!G42))+ISNUMBER(SEARCH("Cash",Raw_Data!G42))+ISNUMBER(SEARCH("Net",Raw_Data!G42)),"Company APM definition — narrower than IFRS line","IFRS line")))</f>
        <v>IFRS line</v>
      </c>
    </row>
    <row r="76" customFormat="false" ht="15" hidden="false" customHeight="true" outlineLevel="0" collapsed="false">
      <c r="A76" s="29" t="str">
        <f aca="false">Raw_Data!A43</f>
        <v>Star Energy Group|2025</v>
      </c>
      <c r="B76" s="29" t="str">
        <f aca="false">Raw_Data!B43</f>
        <v>Star Energy Group</v>
      </c>
      <c r="C76" s="29" t="str">
        <f aca="false">Raw_Data!D43</f>
        <v>2025</v>
      </c>
      <c r="D76" s="30" t="n">
        <f aca="false">IF(ISNUMBER(Raw_Data!F43),Raw_Data!F43,"")</f>
        <v>6.48</v>
      </c>
      <c r="E76" s="30" t="n">
        <f aca="false">N(Raw_Data!H43)</f>
        <v>0.33</v>
      </c>
      <c r="F76" s="30" t="n">
        <f aca="false">N(Raw_Data!I43)</f>
        <v>0.26</v>
      </c>
      <c r="G76" s="31" t="n">
        <f aca="false">IF(ISNUMBER(D76),D76-E76-F76,"")</f>
        <v>5.89</v>
      </c>
      <c r="H76" s="30" t="str">
        <f aca="false">IF(ISNUMBER(Raw_Data!J43),Raw_Data!J43,"")</f>
        <v/>
      </c>
      <c r="I76" s="31" t="str">
        <f aca="false">IF(AND(ISNUMBER(H76),ISNUMBER(D76)),H76-D76,"")</f>
        <v/>
      </c>
      <c r="J76" s="18" t="str">
        <f aca="false">IF(D76="","G&amp;A not yet sourced",IF(ISNUMBER(SEARCH("Aggregator",Raw_Data!S43)),"Aggregator — verify",IF(ISNUMBER(SEARCH("excl",Raw_Data!G43))+ISNUMBER(SEARCH("Cash",Raw_Data!G43))+ISNUMBER(SEARCH("Net",Raw_Data!G43)),"Company APM definition — narrower than IFRS line","IFRS line")))</f>
        <v>IFRS line</v>
      </c>
    </row>
    <row r="77" customFormat="false" ht="15" hidden="false" customHeight="true" outlineLevel="0" collapsed="false">
      <c r="A77" s="29" t="str">
        <f aca="false">Raw_Data!A44</f>
        <v>Star Energy Group|2024</v>
      </c>
      <c r="B77" s="29" t="str">
        <f aca="false">Raw_Data!B44</f>
        <v>Star Energy Group</v>
      </c>
      <c r="C77" s="29" t="str">
        <f aca="false">Raw_Data!D44</f>
        <v>2024</v>
      </c>
      <c r="D77" s="30" t="n">
        <f aca="false">IF(ISNUMBER(Raw_Data!F44),Raw_Data!F44,"")</f>
        <v>9.5</v>
      </c>
      <c r="E77" s="30" t="n">
        <f aca="false">N(Raw_Data!H44)</f>
        <v>0.26</v>
      </c>
      <c r="F77" s="30" t="n">
        <f aca="false">N(Raw_Data!I44)</f>
        <v>0.64</v>
      </c>
      <c r="G77" s="31" t="n">
        <f aca="false">IF(ISNUMBER(D77),D77-E77-F77,"")</f>
        <v>8.6</v>
      </c>
      <c r="H77" s="30" t="str">
        <f aca="false">IF(ISNUMBER(Raw_Data!J44),Raw_Data!J44,"")</f>
        <v/>
      </c>
      <c r="I77" s="31" t="str">
        <f aca="false">IF(AND(ISNUMBER(H77),ISNUMBER(D77)),H77-D77,"")</f>
        <v/>
      </c>
      <c r="J77" s="18" t="str">
        <f aca="false">IF(D77="","G&amp;A not yet sourced",IF(ISNUMBER(SEARCH("Aggregator",Raw_Data!S44)),"Aggregator — verify",IF(ISNUMBER(SEARCH("excl",Raw_Data!G44))+ISNUMBER(SEARCH("Cash",Raw_Data!G44))+ISNUMBER(SEARCH("Net",Raw_Data!G44)),"Company APM definition — narrower than IFRS line","IFRS line")))</f>
        <v>IFRS line</v>
      </c>
    </row>
    <row r="78" customFormat="false" ht="15" hidden="false" customHeight="true" outlineLevel="0" collapsed="false">
      <c r="A78" s="29" t="str">
        <f aca="false">Raw_Data!A45</f>
        <v>Zephyr Energy|2025</v>
      </c>
      <c r="B78" s="29" t="str">
        <f aca="false">Raw_Data!B45</f>
        <v>Zephyr Energy</v>
      </c>
      <c r="C78" s="29" t="str">
        <f aca="false">Raw_Data!D45</f>
        <v>2025</v>
      </c>
      <c r="D78" s="30" t="n">
        <f aca="false">IF(ISNUMBER(Raw_Data!F45),Raw_Data!F45,"")</f>
        <v>5.835</v>
      </c>
      <c r="E78" s="30" t="n">
        <f aca="false">N(Raw_Data!H45)</f>
        <v>0</v>
      </c>
      <c r="F78" s="30" t="n">
        <f aca="false">N(Raw_Data!I45)</f>
        <v>0</v>
      </c>
      <c r="G78" s="31" t="n">
        <f aca="false">IF(ISNUMBER(D78),D78-E78-F78,"")</f>
        <v>5.835</v>
      </c>
      <c r="H78" s="30" t="str">
        <f aca="false">IF(ISNUMBER(Raw_Data!J45),Raw_Data!J45,"")</f>
        <v/>
      </c>
      <c r="I78" s="31" t="str">
        <f aca="false">IF(AND(ISNUMBER(H78),ISNUMBER(D78)),H78-D78,"")</f>
        <v/>
      </c>
      <c r="J78" s="18" t="str">
        <f aca="false">IF(D78="","G&amp;A not yet sourced",IF(ISNUMBER(SEARCH("Aggregator",Raw_Data!S45)),"Aggregator — verify",IF(ISNUMBER(SEARCH("excl",Raw_Data!G45))+ISNUMBER(SEARCH("Cash",Raw_Data!G45))+ISNUMBER(SEARCH("Net",Raw_Data!G45)),"Company APM definition — narrower than IFRS line","IFRS line")))</f>
        <v>IFRS line</v>
      </c>
    </row>
    <row r="79" customFormat="false" ht="15" hidden="false" customHeight="true" outlineLevel="0" collapsed="false">
      <c r="A79" s="29" t="str">
        <f aca="false">Raw_Data!A46</f>
        <v>Zephyr Energy|2024</v>
      </c>
      <c r="B79" s="29" t="str">
        <f aca="false">Raw_Data!B46</f>
        <v>Zephyr Energy</v>
      </c>
      <c r="C79" s="29" t="str">
        <f aca="false">Raw_Data!D46</f>
        <v>2024</v>
      </c>
      <c r="D79" s="30" t="n">
        <f aca="false">IF(ISNUMBER(Raw_Data!F46),Raw_Data!F46,"")</f>
        <v>5.976</v>
      </c>
      <c r="E79" s="30" t="n">
        <f aca="false">N(Raw_Data!H46)</f>
        <v>0</v>
      </c>
      <c r="F79" s="30" t="n">
        <f aca="false">N(Raw_Data!I46)</f>
        <v>0</v>
      </c>
      <c r="G79" s="31" t="n">
        <f aca="false">IF(ISNUMBER(D79),D79-E79-F79,"")</f>
        <v>5.976</v>
      </c>
      <c r="H79" s="30" t="str">
        <f aca="false">IF(ISNUMBER(Raw_Data!J46),Raw_Data!J46,"")</f>
        <v/>
      </c>
      <c r="I79" s="31" t="str">
        <f aca="false">IF(AND(ISNUMBER(H79),ISNUMBER(D79)),H79-D79,"")</f>
        <v/>
      </c>
      <c r="J79" s="18" t="str">
        <f aca="false">IF(D79="","G&amp;A not yet sourced",IF(ISNUMBER(SEARCH("Aggregator",Raw_Data!S46)),"Aggregator — verify",IF(ISNUMBER(SEARCH("excl",Raw_Data!G46))+ISNUMBER(SEARCH("Cash",Raw_Data!G46))+ISNUMBER(SEARCH("Net",Raw_Data!G46)),"Company APM definition — narrower than IFRS line","IFRS line")))</f>
        <v>IFRS line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5" min="4" style="1" width="11"/>
    <col collapsed="false" customWidth="true" hidden="false" outlineLevel="0" max="6" min="6" style="1" width="12"/>
    <col collapsed="false" customWidth="true" hidden="false" outlineLevel="0" max="9" min="7" style="1" width="11"/>
    <col collapsed="false" customWidth="true" hidden="false" outlineLevel="0" max="12" min="10" style="1" width="10"/>
    <col collapsed="false" customWidth="true" hidden="false" outlineLevel="0" max="13" min="13" style="1" width="11"/>
    <col collapsed="false" customWidth="true" hidden="false" outlineLevel="0" max="15" min="14" style="1" width="10"/>
    <col collapsed="false" customWidth="true" hidden="false" outlineLevel="0" max="16" min="16" style="1" width="11"/>
    <col collapsed="false" customWidth="true" hidden="false" outlineLevel="0" max="17" min="17" style="1" width="9"/>
    <col collapsed="false" customWidth="true" hidden="false" outlineLevel="0" max="18" min="18" style="1" width="10"/>
    <col collapsed="false" customWidth="true" hidden="false" outlineLevel="0" max="19" min="19" style="1" width="24"/>
    <col collapsed="false" customWidth="true" hidden="false" outlineLevel="0" max="20" min="20" style="1" width="34"/>
    <col collapsed="false" customWidth="true" hidden="false" outlineLevel="0" max="21" min="21" style="1" width="11"/>
    <col collapsed="false" customWidth="true" hidden="false" outlineLevel="0" max="22" min="22" style="1" width="8"/>
    <col collapsed="false" customWidth="true" hidden="false" outlineLevel="0" max="23" min="23" style="1" width="10"/>
    <col collapsed="false" customWidth="true" hidden="false" outlineLevel="0" max="26" min="24" style="1" width="11"/>
    <col collapsed="false" customWidth="true" hidden="false" outlineLevel="0" max="27" min="27" style="1" width="10"/>
  </cols>
  <sheetData>
    <row r="1" customFormat="false" ht="17.25" hidden="false" customHeight="true" outlineLevel="0" collapsed="false">
      <c r="A1" s="2" t="s">
        <v>329</v>
      </c>
    </row>
    <row r="2" customFormat="false" ht="15" hidden="false" customHeight="true" outlineLevel="0" collapsed="false">
      <c r="A2" s="3" t="s">
        <v>330</v>
      </c>
    </row>
    <row r="3" customFormat="false" ht="15" hidden="false" customHeight="true" outlineLevel="0" collapsed="false">
      <c r="B3" s="4" t="s">
        <v>331</v>
      </c>
      <c r="C3" s="32" t="s">
        <v>53</v>
      </c>
      <c r="E3" s="4" t="s">
        <v>332</v>
      </c>
      <c r="H3" s="33" t="n">
        <v>1.5</v>
      </c>
    </row>
    <row r="5" customFormat="false" ht="42" hidden="false" customHeight="true" outlineLevel="0" collapsed="false">
      <c r="A5" s="9" t="s">
        <v>31</v>
      </c>
      <c r="B5" s="9" t="s">
        <v>227</v>
      </c>
      <c r="C5" s="9" t="s">
        <v>333</v>
      </c>
      <c r="D5" s="9" t="s">
        <v>334</v>
      </c>
      <c r="E5" s="9" t="s">
        <v>322</v>
      </c>
      <c r="F5" s="9" t="s">
        <v>325</v>
      </c>
      <c r="G5" s="9" t="s">
        <v>335</v>
      </c>
      <c r="H5" s="9" t="s">
        <v>336</v>
      </c>
      <c r="I5" s="9" t="s">
        <v>337</v>
      </c>
      <c r="J5" s="9" t="s">
        <v>338</v>
      </c>
      <c r="K5" s="9" t="s">
        <v>339</v>
      </c>
      <c r="L5" s="9" t="s">
        <v>340</v>
      </c>
      <c r="M5" s="9" t="s">
        <v>341</v>
      </c>
      <c r="N5" s="9" t="s">
        <v>342</v>
      </c>
      <c r="O5" s="9" t="s">
        <v>343</v>
      </c>
      <c r="P5" s="9" t="s">
        <v>344</v>
      </c>
      <c r="Q5" s="9" t="s">
        <v>345</v>
      </c>
      <c r="R5" s="9" t="s">
        <v>346</v>
      </c>
      <c r="S5" s="9" t="s">
        <v>347</v>
      </c>
      <c r="T5" s="9" t="s">
        <v>348</v>
      </c>
      <c r="U5" s="9" t="s">
        <v>349</v>
      </c>
      <c r="V5" s="9" t="s">
        <v>350</v>
      </c>
      <c r="W5" s="9" t="s">
        <v>351</v>
      </c>
      <c r="X5" s="9" t="s">
        <v>352</v>
      </c>
      <c r="Y5" s="9" t="s">
        <v>353</v>
      </c>
      <c r="Z5" s="9" t="s">
        <v>354</v>
      </c>
      <c r="AA5" s="9" t="s">
        <v>355</v>
      </c>
    </row>
    <row r="6" customFormat="false" ht="15" hidden="false" customHeight="true" outlineLevel="0" collapsed="false">
      <c r="A6" s="18" t="s">
        <v>51</v>
      </c>
      <c r="B6" s="29" t="str">
        <f aca="false">INDEX(Normalisation!$B$5:$B$25,MATCH($A6,Normalisation!$A$5:$A$25,0))</f>
        <v>Large (&gt;100k)</v>
      </c>
      <c r="C6" s="34" t="n">
        <f aca="false">IFERROR(IF(ISNUMBER(INDEX(Raw_Data!$K$5:$K$46,MATCH($A6&amp;"|"&amp;$C$3,Raw_Data!$A$5:$A$46,0))),INDEX(Raw_Data!$K$5:$K$46,MATCH($A6&amp;"|"&amp;$C$3,Raw_Data!$A$5:$A$46,0)),"n/a"),"n/a")</f>
        <v>474000</v>
      </c>
      <c r="D6" s="31" t="n">
        <f aca="false">IF(ISNUMBER(C6),C6*365/1000000,"n/a")</f>
        <v>173.01</v>
      </c>
      <c r="E6" s="30" t="n">
        <f aca="false">IFERROR(IF(ISNUMBER(INDEX(Normalisation!$D$38:$D$79,MATCH($A6&amp;"|"&amp;$C$3,Normalisation!$A$38:$A$79,0))),INDEX(Normalisation!$D$38:$D$79,MATCH($A6&amp;"|"&amp;$C$3,Normalisation!$A$38:$A$79,0)),"n/a"),"n/a")</f>
        <v>536</v>
      </c>
      <c r="F6" s="30" t="n">
        <f aca="false">IFERROR(IF(ISNUMBER(INDEX(Normalisation!$G$38:$G$79,MATCH($A6&amp;"|"&amp;$C$3,Normalisation!$A$38:$A$79,0))),INDEX(Normalisation!$G$38:$G$79,MATCH($A6&amp;"|"&amp;$C$3,Normalisation!$A$38:$A$79,0)),"n/a"),"n/a")</f>
        <v>414</v>
      </c>
      <c r="G6" s="35" t="n">
        <f aca="false">IF(AND(ISNUMBER(E6),ISNUMBER(D6)),E6/D6,"n/a")</f>
        <v>3.098086815791</v>
      </c>
      <c r="H6" s="35" t="n">
        <f aca="false">IF(AND(ISNUMBER(F6),ISNUMBER(D6)),F6/D6,"n/a")</f>
        <v>2.39292526443558</v>
      </c>
      <c r="I6" s="36" t="n">
        <f aca="false">IF(AND(ISNUMBER(F6),ISNUMBER(C6)),F6/(C6/1000),"n/a")</f>
        <v>0.873417721518987</v>
      </c>
      <c r="J6" s="37" t="n">
        <f aca="false">IFERROR(IF(AND(ISNUMBER(F6),INDEX(Raw_Data!$M$5:$M$46,MATCH($A6&amp;"|"&amp;$C$3,Raw_Data!$A$5:$A$46,0))&gt;0),F6/INDEX(Raw_Data!$M$5:$M$46,MATCH($A6&amp;"|"&amp;$C$3,Raw_Data!$A$5:$A$46,0)),"n/a"),"n/a")</f>
        <v>0.0403469447422279</v>
      </c>
      <c r="K6" s="37" t="n">
        <f aca="false">IFERROR(IF(AND(ISNUMBER(F6),INDEX(Raw_Data!$N$5:$N$46,MATCH($A6&amp;"|"&amp;$C$3,Raw_Data!$A$5:$A$46,0))&gt;0),F6/INDEX(Raw_Data!$N$5:$N$46,MATCH($A6&amp;"|"&amp;$C$3,Raw_Data!$A$5:$A$46,0)),"n/a"),"n/a")</f>
        <v>0.0575319622012229</v>
      </c>
      <c r="L6" s="37" t="n">
        <f aca="false">IFERROR(IF(AND(ISNUMBER(F6),INDEX(Raw_Data!$O$5:$O$46,MATCH($A6&amp;"|"&amp;$C$3,Raw_Data!$A$5:$A$46,0))&gt;0),F6/INDEX(Raw_Data!$O$5:$O$46,MATCH($A6&amp;"|"&amp;$C$3,Raw_Data!$A$5:$A$46,0)),"n/a"),"n/a")</f>
        <v>0.122268163024217</v>
      </c>
      <c r="M6" s="31" t="n">
        <f aca="false">IFERROR(IF(AND(ISNUMBER(F6),INDEX(Raw_Data!$R$5:$R$46,MATCH($A6&amp;"|"&amp;$C$3,Raw_Data!$A$5:$A$46,0))&gt;0),F6*1000/INDEX(Raw_Data!$R$5:$R$46,MATCH($A6&amp;"|"&amp;$C$3,Raw_Data!$A$5:$A$46,0)),"n/a"),"n/a")</f>
        <v>142.17032967033</v>
      </c>
      <c r="N6" s="37" t="n">
        <f aca="false">IFERROR(IF(AND(ISNUMBER(F6),ISNUMBER(INDEX(Normalisation!$G$38:$G$79,MATCH($A6&amp;"|"&amp;TEXT(VALUE($C$3)-1,"0"),Normalisation!$A$38:$A$79,0)))),F6/INDEX(Normalisation!$G$38:$G$79,MATCH($A6&amp;"|"&amp;TEXT(VALUE($C$3)-1,"0"),Normalisation!$A$38:$A$79,0))-1,"n/a"),"n/a")</f>
        <v>1.23783783783784</v>
      </c>
      <c r="O6" s="37" t="n">
        <f aca="false">IFERROR(IF(AND(ISNUMBER(C6),ISNUMBER(INDEX(Raw_Data!$K$5:$K$46,MATCH($A6&amp;"|"&amp;TEXT(VALUE($C$3)-1,"0"),Raw_Data!$A$5:$A$46,0)))),C6/INDEX(Raw_Data!$K$5:$K$46,MATCH($A6&amp;"|"&amp;TEXT(VALUE($C$3)-1,"0"),Raw_Data!$A$5:$A$46,0))-1,"n/a"),"n/a")</f>
        <v>0.837209302325581</v>
      </c>
      <c r="P6" s="37" t="n">
        <f aca="false">IF(AND(ISNUMBER(N6),ISNUMBER(O6)),N6-O6,"n/a")</f>
        <v>0.400628535512256</v>
      </c>
      <c r="Q6" s="18" t="n">
        <f aca="false">IF(ISNUMBER(W6),RANK(W6,$W$6:$W$26,0),"")</f>
        <v>13</v>
      </c>
      <c r="R6" s="38" t="n">
        <f aca="false">IF(ISNUMBER(W6),W6/$W$28,"n/a")</f>
        <v>0.844894514767933</v>
      </c>
      <c r="S6" s="18" t="str">
        <f aca="false">IF(V6="N","Excluded — see notes",IF(NOT(ISNUMBER(R6)),"Data gap",IF(R6&gt;=$H$3,"Outlier — investigate",IF(R6&lt;=1/$H$3,"Lean overhead","Within range"))))</f>
        <v>Within range</v>
      </c>
      <c r="T6" s="29" t="str">
        <f aca="false">IFERROR(INDEX(Normalisation!$J$38:$J$79,MATCH($A6&amp;"|"&amp;$C$3,Normalisation!$A$38:$A$79,0)),"No row for year")</f>
        <v>IFRS line</v>
      </c>
      <c r="U6" s="35" t="str">
        <f aca="false">IFERROR(IF(AND(ISNUMBER(INDEX(Normalisation!$H$38:$H$79,MATCH($A6&amp;"|"&amp;$C$3,Normalisation!$A$38:$A$79,0))),ISNUMBER(D6)),INDEX(Normalisation!$H$38:$H$79,MATCH($A6&amp;"|"&amp;$C$3,Normalisation!$A$38:$A$79,0))/D6,"n/a"),"n/a")</f>
        <v>n/a</v>
      </c>
      <c r="V6" s="29" t="str">
        <f aca="false">INDEX(Normalisation!$M$5:$M$25,MATCH($A6,Normalisation!$A$5:$A$25,0))</f>
        <v>Y</v>
      </c>
      <c r="W6" s="35" t="n">
        <f aca="false">IF(AND(V6="Y",ISNUMBER(H6)),H6,"")</f>
        <v>2.39292526443558</v>
      </c>
      <c r="X6" s="39" t="str">
        <f aca="false">IF(ISNUMBER(INDEX(Normalisation!$J$5:$J$25,MATCH($A6,Normalisation!$A$5:$A$25,0))),INDEX(Normalisation!$J$5:$J$25,MATCH($A6,Normalisation!$A$5:$A$25,0)),"")</f>
        <v/>
      </c>
      <c r="Y6" s="31" t="str">
        <f aca="false">IF(ISNUMBER(INDEX(Normalisation!$K$5:$K$25,MATCH($A6,Normalisation!$A$5:$A$25,0))),INDEX(Normalisation!$K$5:$K$25,MATCH($A6,Normalisation!$A$5:$A$25,0)),"")</f>
        <v/>
      </c>
      <c r="Z6" s="35" t="str">
        <f aca="false">IF(AND(ISNUMBER(X6),ISNUMBER(Y6)),Y6/(X6*365/1000000),"")</f>
        <v/>
      </c>
      <c r="AA6" s="38" t="str">
        <f aca="false">IF(ISNUMBER(Z6),Z6/$W$28,"")</f>
        <v/>
      </c>
    </row>
    <row r="7" customFormat="false" ht="15" hidden="false" customHeight="true" outlineLevel="0" collapsed="false">
      <c r="A7" s="18" t="s">
        <v>63</v>
      </c>
      <c r="B7" s="29" t="str">
        <f aca="false">INDEX(Normalisation!$B$5:$B$25,MATCH($A7,Normalisation!$A$5:$A$25,0))</f>
        <v>Mid (20-100k)</v>
      </c>
      <c r="C7" s="34" t="n">
        <f aca="false">IFERROR(IF(ISNUMBER(INDEX(Raw_Data!$K$5:$K$46,MATCH($A7&amp;"|"&amp;$C$3,Raw_Data!$A$5:$A$46,0))),INDEX(Raw_Data!$K$5:$K$46,MATCH($A7&amp;"|"&amp;$C$3,Raw_Data!$A$5:$A$46,0)),"n/a"),"n/a")</f>
        <v>45709</v>
      </c>
      <c r="D7" s="31" t="n">
        <f aca="false">IF(ISNUMBER(C7),C7*365/1000000,"n/a")</f>
        <v>16.683785</v>
      </c>
      <c r="E7" s="30" t="n">
        <f aca="false">IFERROR(IF(ISNUMBER(INDEX(Normalisation!$D$38:$D$79,MATCH($A7&amp;"|"&amp;$C$3,Normalisation!$A$38:$A$79,0))),INDEX(Normalisation!$D$38:$D$79,MATCH($A7&amp;"|"&amp;$C$3,Normalisation!$A$38:$A$79,0)),"n/a"),"n/a")</f>
        <v>60.087</v>
      </c>
      <c r="F7" s="30" t="n">
        <f aca="false">IFERROR(IF(ISNUMBER(INDEX(Normalisation!$G$38:$G$79,MATCH($A7&amp;"|"&amp;$C$3,Normalisation!$A$38:$A$79,0))),INDEX(Normalisation!$G$38:$G$79,MATCH($A7&amp;"|"&amp;$C$3,Normalisation!$A$38:$A$79,0)),"n/a"),"n/a")</f>
        <v>56.873</v>
      </c>
      <c r="G7" s="35" t="n">
        <f aca="false">IF(AND(ISNUMBER(E7),ISNUMBER(D7)),E7/D7,"n/a")</f>
        <v>3.6015208779063</v>
      </c>
      <c r="H7" s="35" t="n">
        <f aca="false">IF(AND(ISNUMBER(F7),ISNUMBER(D7)),F7/D7,"n/a")</f>
        <v>3.40887874064548</v>
      </c>
      <c r="I7" s="36" t="n">
        <f aca="false">IF(AND(ISNUMBER(F7),ISNUMBER(C7)),F7/(C7/1000),"n/a")</f>
        <v>1.2442407403356</v>
      </c>
      <c r="J7" s="37" t="n">
        <f aca="false">IFERROR(IF(AND(ISNUMBER(F7),INDEX(Raw_Data!$M$5:$M$46,MATCH($A7&amp;"|"&amp;$C$3,Raw_Data!$A$5:$A$46,0))&gt;0),F7/INDEX(Raw_Data!$M$5:$M$46,MATCH($A7&amp;"|"&amp;$C$3,Raw_Data!$A$5:$A$46,0)),"n/a"),"n/a")</f>
        <v>0.0953104758904197</v>
      </c>
      <c r="K7" s="37" t="n">
        <f aca="false">IFERROR(IF(AND(ISNUMBER(F7),INDEX(Raw_Data!$N$5:$N$46,MATCH($A7&amp;"|"&amp;$C$3,Raw_Data!$A$5:$A$46,0))&gt;0),F7/INDEX(Raw_Data!$N$5:$N$46,MATCH($A7&amp;"|"&amp;$C$3,Raw_Data!$A$5:$A$46,0)),"n/a"),"n/a")</f>
        <v>0.200499901288885</v>
      </c>
      <c r="L7" s="37" t="n">
        <f aca="false">IFERROR(IF(AND(ISNUMBER(F7),INDEX(Raw_Data!$O$5:$O$46,MATCH($A7&amp;"|"&amp;$C$3,Raw_Data!$A$5:$A$46,0))&gt;0),F7/INDEX(Raw_Data!$O$5:$O$46,MATCH($A7&amp;"|"&amp;$C$3,Raw_Data!$A$5:$A$46,0)),"n/a"),"n/a")</f>
        <v>0.18155844072926</v>
      </c>
      <c r="M7" s="31" t="n">
        <f aca="false">IFERROR(IF(AND(ISNUMBER(F7),INDEX(Raw_Data!$R$5:$R$46,MATCH($A7&amp;"|"&amp;$C$3,Raw_Data!$A$5:$A$46,0))&gt;0),F7*1000/INDEX(Raw_Data!$R$5:$R$46,MATCH($A7&amp;"|"&amp;$C$3,Raw_Data!$A$5:$A$46,0)),"n/a"),"n/a")</f>
        <v>140.081280788177</v>
      </c>
      <c r="N7" s="37" t="n">
        <f aca="false">IFERROR(IF(AND(ISNUMBER(F7),ISNUMBER(INDEX(Normalisation!$G$38:$G$79,MATCH($A7&amp;"|"&amp;TEXT(VALUE($C$3)-1,"0"),Normalisation!$A$38:$A$79,0)))),F7/INDEX(Normalisation!$G$38:$G$79,MATCH($A7&amp;"|"&amp;TEXT(VALUE($C$3)-1,"0"),Normalisation!$A$38:$A$79,0))-1,"n/a"),"n/a")</f>
        <v>0.372716082160701</v>
      </c>
      <c r="O7" s="37" t="n">
        <f aca="false">IFERROR(IF(AND(ISNUMBER(C7),ISNUMBER(INDEX(Raw_Data!$K$5:$K$46,MATCH($A7&amp;"|"&amp;TEXT(VALUE($C$3)-1,"0"),Raw_Data!$A$5:$A$46,0)))),C7/INDEX(Raw_Data!$K$5:$K$46,MATCH($A7&amp;"|"&amp;TEXT(VALUE($C$3)-1,"0"),Raw_Data!$A$5:$A$46,0))-1,"n/a"),"n/a")</f>
        <v>0.316882742725439</v>
      </c>
      <c r="P7" s="37" t="n">
        <f aca="false">IF(AND(ISNUMBER(N7),ISNUMBER(O7)),N7-O7,"n/a")</f>
        <v>0.0558333394352619</v>
      </c>
      <c r="Q7" s="18" t="n">
        <f aca="false">IF(ISNUMBER(W7),RANK(W7,$W$6:$W$26,0),"")</f>
        <v>9</v>
      </c>
      <c r="R7" s="38" t="n">
        <f aca="false">IF(ISNUMBER(W7),W7/$W$28,"n/a")</f>
        <v>1.20360756446764</v>
      </c>
      <c r="S7" s="18" t="str">
        <f aca="false">IF(V7="N","Excluded — see notes",IF(NOT(ISNUMBER(R7)),"Data gap",IF(R7&gt;=$H$3,"Outlier — investigate",IF(R7&lt;=1/$H$3,"Lean overhead","Within range"))))</f>
        <v>Within range</v>
      </c>
      <c r="T7" s="29" t="str">
        <f aca="false">IFERROR(INDEX(Normalisation!$J$38:$J$79,MATCH($A7&amp;"|"&amp;$C$3,Normalisation!$A$38:$A$79,0)),"No row for year")</f>
        <v>IFRS line</v>
      </c>
      <c r="U7" s="35" t="str">
        <f aca="false">IFERROR(IF(AND(ISNUMBER(INDEX(Normalisation!$H$38:$H$79,MATCH($A7&amp;"|"&amp;$C$3,Normalisation!$A$38:$A$79,0))),ISNUMBER(D7)),INDEX(Normalisation!$H$38:$H$79,MATCH($A7&amp;"|"&amp;$C$3,Normalisation!$A$38:$A$79,0))/D7,"n/a"),"n/a")</f>
        <v>n/a</v>
      </c>
      <c r="V7" s="29" t="str">
        <f aca="false">INDEX(Normalisation!$M$5:$M$25,MATCH($A7,Normalisation!$A$5:$A$25,0))</f>
        <v>Y</v>
      </c>
      <c r="W7" s="35" t="n">
        <f aca="false">IF(AND(V7="Y",ISNUMBER(H7)),H7,"")</f>
        <v>3.40887874064548</v>
      </c>
      <c r="X7" s="39" t="n">
        <f aca="false">IF(ISNUMBER(INDEX(Normalisation!$J$5:$J$25,MATCH($A7,Normalisation!$A$5:$A$25,0))),INDEX(Normalisation!$J$5:$J$25,MATCH($A7,Normalisation!$A$5:$A$25,0)),"")</f>
        <v>12500</v>
      </c>
      <c r="Y7" s="31" t="n">
        <f aca="false">IF(ISNUMBER(INDEX(Normalisation!$K$5:$K$25,MATCH($A7,Normalisation!$A$5:$A$25,0))),INDEX(Normalisation!$K$5:$K$25,MATCH($A7,Normalisation!$A$5:$A$25,0)),"")</f>
        <v>56.873</v>
      </c>
      <c r="Z7" s="35" t="n">
        <f aca="false">IF(AND(ISNUMBER(X7),ISNUMBER(Y7)),Y7/(X7*365/1000000),"")</f>
        <v>12.4653150684932</v>
      </c>
      <c r="AA7" s="38" t="n">
        <f aca="false">IF(ISNUMBER(Z7),Z7/$W$28,"")</f>
        <v>4.4012558531401</v>
      </c>
    </row>
    <row r="8" customFormat="false" ht="15" hidden="false" customHeight="true" outlineLevel="0" collapsed="false">
      <c r="A8" s="18" t="s">
        <v>71</v>
      </c>
      <c r="B8" s="29" t="str">
        <f aca="false">INDEX(Normalisation!$B$5:$B$25,MATCH($A8,Normalisation!$A$5:$A$25,0))</f>
        <v>Mid (20-100k)</v>
      </c>
      <c r="C8" s="34" t="n">
        <f aca="false">IFERROR(IF(ISNUMBER(INDEX(Raw_Data!$K$5:$K$46,MATCH($A8&amp;"|"&amp;$C$3,Raw_Data!$A$5:$A$46,0))),INDEX(Raw_Data!$K$5:$K$46,MATCH($A8&amp;"|"&amp;$C$3,Raw_Data!$A$5:$A$46,0)),"n/a"),"n/a")</f>
        <v>42945</v>
      </c>
      <c r="D8" s="31" t="n">
        <f aca="false">IF(ISNUMBER(C8),C8*365/1000000,"n/a")</f>
        <v>15.674925</v>
      </c>
      <c r="E8" s="30" t="n">
        <f aca="false">IFERROR(IF(ISNUMBER(INDEX(Normalisation!$D$38:$D$79,MATCH($A8&amp;"|"&amp;$C$3,Normalisation!$A$38:$A$79,0))),INDEX(Normalisation!$D$38:$D$79,MATCH($A8&amp;"|"&amp;$C$3,Normalisation!$A$38:$A$79,0)),"n/a"),"n/a")</f>
        <v>7.482</v>
      </c>
      <c r="F8" s="30" t="n">
        <f aca="false">IFERROR(IF(ISNUMBER(INDEX(Normalisation!$G$38:$G$79,MATCH($A8&amp;"|"&amp;$C$3,Normalisation!$A$38:$A$79,0))),INDEX(Normalisation!$G$38:$G$79,MATCH($A8&amp;"|"&amp;$C$3,Normalisation!$A$38:$A$79,0)),"n/a"),"n/a")</f>
        <v>7.482</v>
      </c>
      <c r="G8" s="35" t="n">
        <f aca="false">IF(AND(ISNUMBER(E8),ISNUMBER(D8)),E8/D8,"n/a")</f>
        <v>0.477322858004105</v>
      </c>
      <c r="H8" s="35" t="n">
        <f aca="false">IF(AND(ISNUMBER(F8),ISNUMBER(D8)),F8/D8,"n/a")</f>
        <v>0.477322858004105</v>
      </c>
      <c r="I8" s="36" t="n">
        <f aca="false">IF(AND(ISNUMBER(F8),ISNUMBER(C8)),F8/(C8/1000),"n/a")</f>
        <v>0.174222843171498</v>
      </c>
      <c r="J8" s="37" t="n">
        <f aca="false">IFERROR(IF(AND(ISNUMBER(F8),INDEX(Raw_Data!$M$5:$M$46,MATCH($A8&amp;"|"&amp;$C$3,Raw_Data!$A$5:$A$46,0))&gt;0),F8/INDEX(Raw_Data!$M$5:$M$46,MATCH($A8&amp;"|"&amp;$C$3,Raw_Data!$A$5:$A$46,0)),"n/a"),"n/a")</f>
        <v>0.00669051238486989</v>
      </c>
      <c r="K8" s="37" t="n">
        <f aca="false">IFERROR(IF(AND(ISNUMBER(F8),INDEX(Raw_Data!$N$5:$N$46,MATCH($A8&amp;"|"&amp;$C$3,Raw_Data!$A$5:$A$46,0))&gt;0),F8/INDEX(Raw_Data!$N$5:$N$46,MATCH($A8&amp;"|"&amp;$C$3,Raw_Data!$A$5:$A$46,0)),"n/a"),"n/a")</f>
        <v>0.0148511314013497</v>
      </c>
      <c r="L8" s="37" t="n">
        <f aca="false">IFERROR(IF(AND(ISNUMBER(F8),INDEX(Raw_Data!$O$5:$O$46,MATCH($A8&amp;"|"&amp;$C$3,Raw_Data!$A$5:$A$46,0))&gt;0),F8/INDEX(Raw_Data!$O$5:$O$46,MATCH($A8&amp;"|"&amp;$C$3,Raw_Data!$A$5:$A$46,0)),"n/a"),"n/a")</f>
        <v>0.0206286186931348</v>
      </c>
      <c r="M8" s="31" t="n">
        <f aca="false">IFERROR(IF(AND(ISNUMBER(F8),INDEX(Raw_Data!$R$5:$R$46,MATCH($A8&amp;"|"&amp;$C$3,Raw_Data!$A$5:$A$46,0))&gt;0),F8*1000/INDEX(Raw_Data!$R$5:$R$46,MATCH($A8&amp;"|"&amp;$C$3,Raw_Data!$A$5:$A$46,0)),"n/a"),"n/a")</f>
        <v>10.7809798270893</v>
      </c>
      <c r="N8" s="37" t="n">
        <f aca="false">IFERROR(IF(AND(ISNUMBER(F8),ISNUMBER(INDEX(Normalisation!$G$38:$G$79,MATCH($A8&amp;"|"&amp;TEXT(VALUE($C$3)-1,"0"),Normalisation!$A$38:$A$79,0)))),F8/INDEX(Normalisation!$G$38:$G$79,MATCH($A8&amp;"|"&amp;TEXT(VALUE($C$3)-1,"0"),Normalisation!$A$38:$A$79,0))-1,"n/a"),"n/a")</f>
        <v>0.585505403687222</v>
      </c>
      <c r="O8" s="37" t="n">
        <f aca="false">IFERROR(IF(AND(ISNUMBER(C8),ISNUMBER(INDEX(Raw_Data!$K$5:$K$46,MATCH($A8&amp;"|"&amp;TEXT(VALUE($C$3)-1,"0"),Raw_Data!$A$5:$A$46,0)))),C8/INDEX(Raw_Data!$K$5:$K$46,MATCH($A8&amp;"|"&amp;TEXT(VALUE($C$3)-1,"0"),Raw_Data!$A$5:$A$46,0))-1,"n/a"),"n/a")</f>
        <v>0.0542272191673212</v>
      </c>
      <c r="P8" s="37" t="n">
        <f aca="false">IF(AND(ISNUMBER(N8),ISNUMBER(O8)),N8-O8,"n/a")</f>
        <v>0.531278184519901</v>
      </c>
      <c r="Q8" s="18" t="n">
        <f aca="false">IF(ISNUMBER(W8),RANK(W8,$W$6:$W$26,0),"")</f>
        <v>19</v>
      </c>
      <c r="R8" s="38" t="n">
        <f aca="false">IF(ISNUMBER(W8),W8/$W$28,"n/a")</f>
        <v>0.168533246940391</v>
      </c>
      <c r="S8" s="18" t="str">
        <f aca="false">IF(V8="N","Excluded — see notes",IF(NOT(ISNUMBER(R8)),"Data gap",IF(R8&gt;=$H$3,"Outlier — investigate",IF(R8&lt;=1/$H$3,"Lean overhead","Within range"))))</f>
        <v>Lean overhead</v>
      </c>
      <c r="T8" s="29" t="str">
        <f aca="false">IFERROR(INDEX(Normalisation!$J$38:$J$79,MATCH($A8&amp;"|"&amp;$C$3,Normalisation!$A$38:$A$79,0)),"No row for year")</f>
        <v>Company APM definition — narrower than IFRS line</v>
      </c>
      <c r="U8" s="35" t="n">
        <f aca="false">IFERROR(IF(AND(ISNUMBER(INDEX(Normalisation!$H$38:$H$79,MATCH($A8&amp;"|"&amp;$C$3,Normalisation!$A$38:$A$79,0))),ISNUMBER(D8)),INDEX(Normalisation!$H$38:$H$79,MATCH($A8&amp;"|"&amp;$C$3,Normalisation!$A$38:$A$79,0))/D8,"n/a"),"n/a")</f>
        <v>6.70637977534183</v>
      </c>
      <c r="V8" s="29" t="str">
        <f aca="false">INDEX(Normalisation!$M$5:$M$25,MATCH($A8,Normalisation!$A$5:$A$25,0))</f>
        <v>Y</v>
      </c>
      <c r="W8" s="35" t="n">
        <f aca="false">IF(AND(V8="Y",ISNUMBER(H8)),H8,"")</f>
        <v>0.477322858004105</v>
      </c>
      <c r="X8" s="39" t="str">
        <f aca="false">IF(ISNUMBER(INDEX(Normalisation!$J$5:$J$25,MATCH($A8,Normalisation!$A$5:$A$25,0))),INDEX(Normalisation!$J$5:$J$25,MATCH($A8,Normalisation!$A$5:$A$25,0)),"")</f>
        <v/>
      </c>
      <c r="Y8" s="31" t="str">
        <f aca="false">IF(ISNUMBER(INDEX(Normalisation!$K$5:$K$25,MATCH($A8,Normalisation!$A$5:$A$25,0))),INDEX(Normalisation!$K$5:$K$25,MATCH($A8,Normalisation!$A$5:$A$25,0)),"")</f>
        <v/>
      </c>
      <c r="Z8" s="35" t="str">
        <f aca="false">IF(AND(ISNUMBER(X8),ISNUMBER(Y8)),Y8/(X8*365/1000000),"")</f>
        <v/>
      </c>
      <c r="AA8" s="38" t="str">
        <f aca="false">IF(ISNUMBER(Z8),Z8/$W$28,"")</f>
        <v/>
      </c>
    </row>
    <row r="9" customFormat="false" ht="15" hidden="false" customHeight="true" outlineLevel="0" collapsed="false">
      <c r="A9" s="18" t="s">
        <v>81</v>
      </c>
      <c r="B9" s="29" t="str">
        <f aca="false">INDEX(Normalisation!$B$5:$B$25,MATCH($A9,Normalisation!$A$5:$A$25,0))</f>
        <v>Mid (20-100k)</v>
      </c>
      <c r="C9" s="34" t="n">
        <f aca="false">IFERROR(IF(ISNUMBER(INDEX(Raw_Data!$K$5:$K$46,MATCH($A9&amp;"|"&amp;$C$3,Raw_Data!$A$5:$A$46,0))),INDEX(Raw_Data!$K$5:$K$46,MATCH($A9&amp;"|"&amp;$C$3,Raw_Data!$A$5:$A$46,0)),"n/a"),"n/a")</f>
        <v>27600</v>
      </c>
      <c r="D9" s="31" t="n">
        <f aca="false">IF(ISNUMBER(C9),C9*365/1000000,"n/a")</f>
        <v>10.074</v>
      </c>
      <c r="E9" s="30" t="n">
        <f aca="false">IFERROR(IF(ISNUMBER(INDEX(Normalisation!$D$38:$D$79,MATCH($A9&amp;"|"&amp;$C$3,Normalisation!$A$38:$A$79,0))),INDEX(Normalisation!$D$38:$D$79,MATCH($A9&amp;"|"&amp;$C$3,Normalisation!$A$38:$A$79,0)),"n/a"),"n/a")</f>
        <v>23.075</v>
      </c>
      <c r="F9" s="30" t="n">
        <f aca="false">IFERROR(IF(ISNUMBER(INDEX(Normalisation!$G$38:$G$79,MATCH($A9&amp;"|"&amp;$C$3,Normalisation!$A$38:$A$79,0))),INDEX(Normalisation!$G$38:$G$79,MATCH($A9&amp;"|"&amp;$C$3,Normalisation!$A$38:$A$79,0)),"n/a"),"n/a")</f>
        <v>19.552</v>
      </c>
      <c r="G9" s="35" t="n">
        <f aca="false">IF(AND(ISNUMBER(E9),ISNUMBER(D9)),E9/D9,"n/a")</f>
        <v>2.2905499305142</v>
      </c>
      <c r="H9" s="35" t="n">
        <f aca="false">IF(AND(ISNUMBER(F9),ISNUMBER(D9)),F9/D9,"n/a")</f>
        <v>1.94083780027794</v>
      </c>
      <c r="I9" s="36" t="n">
        <f aca="false">IF(AND(ISNUMBER(F9),ISNUMBER(C9)),F9/(C9/1000),"n/a")</f>
        <v>0.708405797101449</v>
      </c>
      <c r="J9" s="37" t="n">
        <f aca="false">IFERROR(IF(AND(ISNUMBER(F9),INDEX(Raw_Data!$M$5:$M$46,MATCH($A9&amp;"|"&amp;$C$3,Raw_Data!$A$5:$A$46,0))&gt;0),F9/INDEX(Raw_Data!$M$5:$M$46,MATCH($A9&amp;"|"&amp;$C$3,Raw_Data!$A$5:$A$46,0)),"n/a"),"n/a")</f>
        <v>0.0325324459234609</v>
      </c>
      <c r="K9" s="37" t="n">
        <f aca="false">IFERROR(IF(AND(ISNUMBER(F9),INDEX(Raw_Data!$N$5:$N$46,MATCH($A9&amp;"|"&amp;$C$3,Raw_Data!$A$5:$A$46,0))&gt;0),F9/INDEX(Raw_Data!$N$5:$N$46,MATCH($A9&amp;"|"&amp;$C$3,Raw_Data!$A$5:$A$46,0)),"n/a"),"n/a")</f>
        <v>0.0931047619047619</v>
      </c>
      <c r="L9" s="37" t="n">
        <f aca="false">IFERROR(IF(AND(ISNUMBER(F9),INDEX(Raw_Data!$O$5:$O$46,MATCH($A9&amp;"|"&amp;$C$3,Raw_Data!$A$5:$A$46,0))&gt;0),F9/INDEX(Raw_Data!$O$5:$O$46,MATCH($A9&amp;"|"&amp;$C$3,Raw_Data!$A$5:$A$46,0)),"n/a"),"n/a")</f>
        <v>0.0807266721717589</v>
      </c>
      <c r="M9" s="31" t="n">
        <f aca="false">IFERROR(IF(AND(ISNUMBER(F9),INDEX(Raw_Data!$R$5:$R$46,MATCH($A9&amp;"|"&amp;$C$3,Raw_Data!$A$5:$A$46,0))&gt;0),F9*1000/INDEX(Raw_Data!$R$5:$R$46,MATCH($A9&amp;"|"&amp;$C$3,Raw_Data!$A$5:$A$46,0)),"n/a"),"n/a")</f>
        <v>80.7933884297521</v>
      </c>
      <c r="N9" s="37" t="n">
        <f aca="false">IFERROR(IF(AND(ISNUMBER(F9),ISNUMBER(INDEX(Normalisation!$G$38:$G$79,MATCH($A9&amp;"|"&amp;TEXT(VALUE($C$3)-1,"0"),Normalisation!$A$38:$A$79,0)))),F9/INDEX(Normalisation!$G$38:$G$79,MATCH($A9&amp;"|"&amp;TEXT(VALUE($C$3)-1,"0"),Normalisation!$A$38:$A$79,0))-1,"n/a"),"n/a")</f>
        <v>0.0943691928803314</v>
      </c>
      <c r="O9" s="37" t="n">
        <f aca="false">IFERROR(IF(AND(ISNUMBER(C9),ISNUMBER(INDEX(Raw_Data!$K$5:$K$46,MATCH($A9&amp;"|"&amp;TEXT(VALUE($C$3)-1,"0"),Raw_Data!$A$5:$A$46,0)))),C9/INDEX(Raw_Data!$K$5:$K$46,MATCH($A9&amp;"|"&amp;TEXT(VALUE($C$3)-1,"0"),Raw_Data!$A$5:$A$46,0))-1,"n/a"),"n/a")</f>
        <v>-0.202312138728324</v>
      </c>
      <c r="P9" s="37" t="n">
        <f aca="false">IF(AND(ISNUMBER(N9),ISNUMBER(O9)),N9-O9,"n/a")</f>
        <v>0.296681331608655</v>
      </c>
      <c r="Q9" s="18" t="n">
        <f aca="false">IF(ISNUMBER(W9),RANK(W9,$W$6:$W$26,0),"")</f>
        <v>14</v>
      </c>
      <c r="R9" s="38" t="n">
        <f aca="false">IF(ISNUMBER(W9),W9/$W$28,"n/a")</f>
        <v>0.685271385563257</v>
      </c>
      <c r="S9" s="18" t="str">
        <f aca="false">IF(V9="N","Excluded — see notes",IF(NOT(ISNUMBER(R9)),"Data gap",IF(R9&gt;=$H$3,"Outlier — investigate",IF(R9&lt;=1/$H$3,"Lean overhead","Within range"))))</f>
        <v>Within range</v>
      </c>
      <c r="T9" s="29" t="str">
        <f aca="false">IFERROR(INDEX(Normalisation!$J$38:$J$79,MATCH($A9&amp;"|"&amp;$C$3,Normalisation!$A$38:$A$79,0)),"No row for year")</f>
        <v>IFRS line</v>
      </c>
      <c r="U9" s="35" t="str">
        <f aca="false">IFERROR(IF(AND(ISNUMBER(INDEX(Normalisation!$H$38:$H$79,MATCH($A9&amp;"|"&amp;$C$3,Normalisation!$A$38:$A$79,0))),ISNUMBER(D9)),INDEX(Normalisation!$H$38:$H$79,MATCH($A9&amp;"|"&amp;$C$3,Normalisation!$A$38:$A$79,0))/D9,"n/a"),"n/a")</f>
        <v>n/a</v>
      </c>
      <c r="V9" s="29" t="str">
        <f aca="false">INDEX(Normalisation!$M$5:$M$25,MATCH($A9,Normalisation!$A$5:$A$25,0))</f>
        <v>Y</v>
      </c>
      <c r="W9" s="35" t="n">
        <f aca="false">IF(AND(V9="Y",ISNUMBER(H9)),H9,"")</f>
        <v>1.94083780027794</v>
      </c>
      <c r="X9" s="39" t="str">
        <f aca="false">IF(ISNUMBER(INDEX(Normalisation!$J$5:$J$25,MATCH($A9,Normalisation!$A$5:$A$25,0))),INDEX(Normalisation!$J$5:$J$25,MATCH($A9,Normalisation!$A$5:$A$25,0)),"")</f>
        <v/>
      </c>
      <c r="Y9" s="31" t="str">
        <f aca="false">IF(ISNUMBER(INDEX(Normalisation!$K$5:$K$25,MATCH($A9,Normalisation!$A$5:$A$25,0))),INDEX(Normalisation!$K$5:$K$25,MATCH($A9,Normalisation!$A$5:$A$25,0)),"")</f>
        <v/>
      </c>
      <c r="Z9" s="35" t="str">
        <f aca="false">IF(AND(ISNUMBER(X9),ISNUMBER(Y9)),Y9/(X9*365/1000000),"")</f>
        <v/>
      </c>
      <c r="AA9" s="38" t="str">
        <f aca="false">IF(ISNUMBER(Z9),Z9/$W$28,"")</f>
        <v/>
      </c>
    </row>
    <row r="10" customFormat="false" ht="15" hidden="false" customHeight="true" outlineLevel="0" collapsed="false">
      <c r="A10" s="18" t="s">
        <v>86</v>
      </c>
      <c r="B10" s="29" t="str">
        <f aca="false">INDEX(Normalisation!$B$5:$B$25,MATCH($A10,Normalisation!$A$5:$A$25,0))</f>
        <v>Large (&gt;100k)</v>
      </c>
      <c r="C10" s="34" t="n">
        <f aca="false">IFERROR(IF(ISNUMBER(INDEX(Raw_Data!$K$5:$K$46,MATCH($A10&amp;"|"&amp;$C$3,Raw_Data!$A$5:$A$46,0))),INDEX(Raw_Data!$K$5:$K$46,MATCH($A10&amp;"|"&amp;$C$3,Raw_Data!$A$5:$A$46,0)),"n/a"),"n/a")</f>
        <v>119000</v>
      </c>
      <c r="D10" s="31" t="n">
        <f aca="false">IF(ISNUMBER(C10),C10*365/1000000,"n/a")</f>
        <v>43.435</v>
      </c>
      <c r="E10" s="30" t="n">
        <f aca="false">IFERROR(IF(ISNUMBER(INDEX(Normalisation!$D$38:$D$79,MATCH($A10&amp;"|"&amp;$C$3,Normalisation!$A$38:$A$79,0))),INDEX(Normalisation!$D$38:$D$79,MATCH($A10&amp;"|"&amp;$C$3,Normalisation!$A$38:$A$79,0)),"n/a"),"n/a")</f>
        <v>47.3</v>
      </c>
      <c r="F10" s="30" t="n">
        <f aca="false">IFERROR(IF(ISNUMBER(INDEX(Normalisation!$G$38:$G$79,MATCH($A10&amp;"|"&amp;$C$3,Normalisation!$A$38:$A$79,0))),INDEX(Normalisation!$G$38:$G$79,MATCH($A10&amp;"|"&amp;$C$3,Normalisation!$A$38:$A$79,0)),"n/a"),"n/a")</f>
        <v>36.1</v>
      </c>
      <c r="G10" s="35" t="n">
        <f aca="false">IF(AND(ISNUMBER(E10),ISNUMBER(D10)),E10/D10,"n/a")</f>
        <v>1.08898353862093</v>
      </c>
      <c r="H10" s="35" t="n">
        <f aca="false">IF(AND(ISNUMBER(F10),ISNUMBER(D10)),F10/D10,"n/a")</f>
        <v>0.83112697133648</v>
      </c>
      <c r="I10" s="36" t="n">
        <f aca="false">IF(AND(ISNUMBER(F10),ISNUMBER(C10)),F10/(C10/1000),"n/a")</f>
        <v>0.303361344537815</v>
      </c>
      <c r="J10" s="37" t="n">
        <f aca="false">IFERROR(IF(AND(ISNUMBER(F10),INDEX(Raw_Data!$M$5:$M$46,MATCH($A10&amp;"|"&amp;$C$3,Raw_Data!$A$5:$A$46,0))&gt;0),F10/INDEX(Raw_Data!$M$5:$M$46,MATCH($A10&amp;"|"&amp;$C$3,Raw_Data!$A$5:$A$46,0)),"n/a"),"n/a")</f>
        <v>0.0124474174194883</v>
      </c>
      <c r="K10" s="37" t="n">
        <f aca="false">IFERROR(IF(AND(ISNUMBER(F10),INDEX(Raw_Data!$N$5:$N$46,MATCH($A10&amp;"|"&amp;$C$3,Raw_Data!$A$5:$A$46,0))&gt;0),F10/INDEX(Raw_Data!$N$5:$N$46,MATCH($A10&amp;"|"&amp;$C$3,Raw_Data!$A$5:$A$46,0)),"n/a"),"n/a")</f>
        <v>0.0177762458144574</v>
      </c>
      <c r="L10" s="37" t="n">
        <f aca="false">IFERROR(IF(AND(ISNUMBER(F10),INDEX(Raw_Data!$O$5:$O$46,MATCH($A10&amp;"|"&amp;$C$3,Raw_Data!$A$5:$A$46,0))&gt;0),F10/INDEX(Raw_Data!$O$5:$O$46,MATCH($A10&amp;"|"&amp;$C$3,Raw_Data!$A$5:$A$46,0)),"n/a"),"n/a")</f>
        <v>0.0206841230733971</v>
      </c>
      <c r="M10" s="31" t="n">
        <f aca="false">IFERROR(IF(AND(ISNUMBER(F10),INDEX(Raw_Data!$R$5:$R$46,MATCH($A10&amp;"|"&amp;$C$3,Raw_Data!$A$5:$A$46,0))&gt;0),F10*1000/INDEX(Raw_Data!$R$5:$R$46,MATCH($A10&amp;"|"&amp;$C$3,Raw_Data!$A$5:$A$46,0)),"n/a"),"n/a")</f>
        <v>45.2380952380952</v>
      </c>
      <c r="N10" s="37" t="n">
        <f aca="false">IFERROR(IF(AND(ISNUMBER(F10),ISNUMBER(INDEX(Normalisation!$G$38:$G$79,MATCH($A10&amp;"|"&amp;TEXT(VALUE($C$3)-1,"0"),Normalisation!$A$38:$A$79,0)))),F10/INDEX(Normalisation!$G$38:$G$79,MATCH($A10&amp;"|"&amp;TEXT(VALUE($C$3)-1,"0"),Normalisation!$A$38:$A$79,0))-1,"n/a"),"n/a")</f>
        <v>0.0343839541547282</v>
      </c>
      <c r="O10" s="37" t="n">
        <f aca="false">IFERROR(IF(AND(ISNUMBER(C10),ISNUMBER(INDEX(Raw_Data!$K$5:$K$46,MATCH($A10&amp;"|"&amp;TEXT(VALUE($C$3)-1,"0"),Raw_Data!$A$5:$A$46,0)))),C10/INDEX(Raw_Data!$K$5:$K$46,MATCH($A10&amp;"|"&amp;TEXT(VALUE($C$3)-1,"0"),Raw_Data!$A$5:$A$46,0))-1,"n/a"),"n/a")</f>
        <v>0.4875</v>
      </c>
      <c r="P10" s="37" t="n">
        <f aca="false">IF(AND(ISNUMBER(N10),ISNUMBER(O10)),N10-O10,"n/a")</f>
        <v>-0.453116045845272</v>
      </c>
      <c r="Q10" s="18" t="n">
        <f aca="false">IF(ISNUMBER(W10),RANK(W10,$W$6:$W$26,0),"")</f>
        <v>16</v>
      </c>
      <c r="R10" s="38" t="n">
        <f aca="false">IF(ISNUMBER(W10),W10/$W$28,"n/a")</f>
        <v>0.29345447164373</v>
      </c>
      <c r="S10" s="18" t="str">
        <f aca="false">IF(V10="N","Excluded — see notes",IF(NOT(ISNUMBER(R10)),"Data gap",IF(R10&gt;=$H$3,"Outlier — investigate",IF(R10&lt;=1/$H$3,"Lean overhead","Within range"))))</f>
        <v>Lean overhead</v>
      </c>
      <c r="T10" s="29" t="str">
        <f aca="false">IFERROR(INDEX(Normalisation!$J$38:$J$79,MATCH($A10&amp;"|"&amp;$C$3,Normalisation!$A$38:$A$79,0)),"No row for year")</f>
        <v>IFRS line</v>
      </c>
      <c r="U10" s="35" t="str">
        <f aca="false">IFERROR(IF(AND(ISNUMBER(INDEX(Normalisation!$H$38:$H$79,MATCH($A10&amp;"|"&amp;$C$3,Normalisation!$A$38:$A$79,0))),ISNUMBER(D10)),INDEX(Normalisation!$H$38:$H$79,MATCH($A10&amp;"|"&amp;$C$3,Normalisation!$A$38:$A$79,0))/D10,"n/a"),"n/a")</f>
        <v>n/a</v>
      </c>
      <c r="V10" s="29" t="str">
        <f aca="false">INDEX(Normalisation!$M$5:$M$25,MATCH($A10,Normalisation!$A$5:$A$25,0))</f>
        <v>Y</v>
      </c>
      <c r="W10" s="35" t="n">
        <f aca="false">IF(AND(V10="Y",ISNUMBER(H10)),H10,"")</f>
        <v>0.83112697133648</v>
      </c>
      <c r="X10" s="39" t="str">
        <f aca="false">IF(ISNUMBER(INDEX(Normalisation!$J$5:$J$25,MATCH($A10,Normalisation!$A$5:$A$25,0))),INDEX(Normalisation!$J$5:$J$25,MATCH($A10,Normalisation!$A$5:$A$25,0)),"")</f>
        <v/>
      </c>
      <c r="Y10" s="31" t="str">
        <f aca="false">IF(ISNUMBER(INDEX(Normalisation!$K$5:$K$25,MATCH($A10,Normalisation!$A$5:$A$25,0))),INDEX(Normalisation!$K$5:$K$25,MATCH($A10,Normalisation!$A$5:$A$25,0)),"")</f>
        <v/>
      </c>
      <c r="Z10" s="35" t="str">
        <f aca="false">IF(AND(ISNUMBER(X10),ISNUMBER(Y10)),Y10/(X10*365/1000000),"")</f>
        <v/>
      </c>
      <c r="AA10" s="38" t="str">
        <f aca="false">IF(ISNUMBER(Z10),Z10/$W$28,"")</f>
        <v/>
      </c>
    </row>
    <row r="11" customFormat="false" ht="15" hidden="false" customHeight="true" outlineLevel="0" collapsed="false">
      <c r="A11" s="18" t="s">
        <v>93</v>
      </c>
      <c r="B11" s="29" t="str">
        <f aca="false">INDEX(Normalisation!$B$5:$B$25,MATCH($A11,Normalisation!$A$5:$A$25,0))</f>
        <v>Large (&gt;100k)</v>
      </c>
      <c r="C11" s="34" t="n">
        <f aca="false">IFERROR(IF(ISNUMBER(INDEX(Raw_Data!$K$5:$K$46,MATCH($A11&amp;"|"&amp;$C$3,Raw_Data!$A$5:$A$46,0))),INDEX(Raw_Data!$K$5:$K$46,MATCH($A11&amp;"|"&amp;$C$3,Raw_Data!$A$5:$A$46,0)),"n/a"),"n/a")</f>
        <v>154000</v>
      </c>
      <c r="D11" s="31" t="n">
        <f aca="false">IF(ISNUMBER(C11),C11*365/1000000,"n/a")</f>
        <v>56.21</v>
      </c>
      <c r="E11" s="30" t="n">
        <f aca="false">IFERROR(IF(ISNUMBER(INDEX(Normalisation!$D$38:$D$79,MATCH($A11&amp;"|"&amp;$C$3,Normalisation!$A$38:$A$79,0))),INDEX(Normalisation!$D$38:$D$79,MATCH($A11&amp;"|"&amp;$C$3,Normalisation!$A$38:$A$79,0)),"n/a"),"n/a")</f>
        <v>53.638</v>
      </c>
      <c r="F11" s="30" t="n">
        <f aca="false">IFERROR(IF(ISNUMBER(INDEX(Normalisation!$G$38:$G$79,MATCH($A11&amp;"|"&amp;$C$3,Normalisation!$A$38:$A$79,0))),INDEX(Normalisation!$G$38:$G$79,MATCH($A11&amp;"|"&amp;$C$3,Normalisation!$A$38:$A$79,0)),"n/a"),"n/a")</f>
        <v>45.638</v>
      </c>
      <c r="G11" s="35" t="n">
        <f aca="false">IF(AND(ISNUMBER(E11),ISNUMBER(D11)),E11/D11,"n/a")</f>
        <v>0.954243017256716</v>
      </c>
      <c r="H11" s="35" t="n">
        <f aca="false">IF(AND(ISNUMBER(F11),ISNUMBER(D11)),F11/D11,"n/a")</f>
        <v>0.811919587262053</v>
      </c>
      <c r="I11" s="36" t="n">
        <f aca="false">IF(AND(ISNUMBER(F11),ISNUMBER(C11)),F11/(C11/1000),"n/a")</f>
        <v>0.296350649350649</v>
      </c>
      <c r="J11" s="37" t="n">
        <f aca="false">IFERROR(IF(AND(ISNUMBER(F11),INDEX(Raw_Data!$M$5:$M$46,MATCH($A11&amp;"|"&amp;$C$3,Raw_Data!$A$5:$A$46,0))&gt;0),F11/INDEX(Raw_Data!$M$5:$M$46,MATCH($A11&amp;"|"&amp;$C$3,Raw_Data!$A$5:$A$46,0)),"n/a"),"n/a")</f>
        <v>0.0264089539767355</v>
      </c>
      <c r="K11" s="37" t="n">
        <f aca="false">IFERROR(IF(AND(ISNUMBER(F11),INDEX(Raw_Data!$N$5:$N$46,MATCH($A11&amp;"|"&amp;$C$3,Raw_Data!$A$5:$A$46,0))&gt;0),F11/INDEX(Raw_Data!$N$5:$N$46,MATCH($A11&amp;"|"&amp;$C$3,Raw_Data!$A$5:$A$46,0)),"n/a"),"n/a")</f>
        <v>0.040857654431513</v>
      </c>
      <c r="L11" s="37" t="n">
        <f aca="false">IFERROR(IF(AND(ISNUMBER(F11),INDEX(Raw_Data!$O$5:$O$46,MATCH($A11&amp;"|"&amp;$C$3,Raw_Data!$A$5:$A$46,0))&gt;0),F11/INDEX(Raw_Data!$O$5:$O$46,MATCH($A11&amp;"|"&amp;$C$3,Raw_Data!$A$5:$A$46,0)),"n/a"),"n/a")</f>
        <v>0.0399080081848231</v>
      </c>
      <c r="M11" s="31" t="n">
        <f aca="false">IFERROR(IF(AND(ISNUMBER(F11),INDEX(Raw_Data!$R$5:$R$46,MATCH($A11&amp;"|"&amp;$C$3,Raw_Data!$A$5:$A$46,0))&gt;0),F11*1000/INDEX(Raw_Data!$R$5:$R$46,MATCH($A11&amp;"|"&amp;$C$3,Raw_Data!$A$5:$A$46,0)),"n/a"),"n/a")</f>
        <v>75.936772046589</v>
      </c>
      <c r="N11" s="37" t="n">
        <f aca="false">IFERROR(IF(AND(ISNUMBER(F11),ISNUMBER(INDEX(Normalisation!$G$38:$G$79,MATCH($A11&amp;"|"&amp;TEXT(VALUE($C$3)-1,"0"),Normalisation!$A$38:$A$79,0)))),F11/INDEX(Normalisation!$G$38:$G$79,MATCH($A11&amp;"|"&amp;TEXT(VALUE($C$3)-1,"0"),Normalisation!$A$38:$A$79,0))-1,"n/a"),"n/a")</f>
        <v>0.0618427175430434</v>
      </c>
      <c r="O11" s="37" t="n">
        <f aca="false">IFERROR(IF(AND(ISNUMBER(C11),ISNUMBER(INDEX(Raw_Data!$K$5:$K$46,MATCH($A11&amp;"|"&amp;TEXT(VALUE($C$3)-1,"0"),Raw_Data!$A$5:$A$46,0)))),C11/INDEX(Raw_Data!$K$5:$K$46,MATCH($A11&amp;"|"&amp;TEXT(VALUE($C$3)-1,"0"),Raw_Data!$A$5:$A$46,0))-1,"n/a"),"n/a")</f>
        <v>0.00653594771241828</v>
      </c>
      <c r="P11" s="37" t="n">
        <f aca="false">IF(AND(ISNUMBER(N11),ISNUMBER(O11)),N11-O11,"n/a")</f>
        <v>0.0553067698306251</v>
      </c>
      <c r="Q11" s="18" t="n">
        <f aca="false">IF(ISNUMBER(W11),RANK(W11,$W$6:$W$26,0),"")</f>
        <v>17</v>
      </c>
      <c r="R11" s="38" t="n">
        <f aca="false">IF(ISNUMBER(W11),W11/$W$28,"n/a")</f>
        <v>0.28667272476316</v>
      </c>
      <c r="S11" s="18" t="str">
        <f aca="false">IF(V11="N","Excluded — see notes",IF(NOT(ISNUMBER(R11)),"Data gap",IF(R11&gt;=$H$3,"Outlier — investigate",IF(R11&lt;=1/$H$3,"Lean overhead","Within range"))))</f>
        <v>Lean overhead</v>
      </c>
      <c r="T11" s="29" t="str">
        <f aca="false">IFERROR(INDEX(Normalisation!$J$38:$J$79,MATCH($A11&amp;"|"&amp;$C$3,Normalisation!$A$38:$A$79,0)),"No row for year")</f>
        <v>IFRS line</v>
      </c>
      <c r="U11" s="35" t="str">
        <f aca="false">IFERROR(IF(AND(ISNUMBER(INDEX(Normalisation!$H$38:$H$79,MATCH($A11&amp;"|"&amp;$C$3,Normalisation!$A$38:$A$79,0))),ISNUMBER(D11)),INDEX(Normalisation!$H$38:$H$79,MATCH($A11&amp;"|"&amp;$C$3,Normalisation!$A$38:$A$79,0))/D11,"n/a"),"n/a")</f>
        <v>n/a</v>
      </c>
      <c r="V11" s="29" t="str">
        <f aca="false">INDEX(Normalisation!$M$5:$M$25,MATCH($A11,Normalisation!$A$5:$A$25,0))</f>
        <v>Y</v>
      </c>
      <c r="W11" s="35" t="n">
        <f aca="false">IF(AND(V11="Y",ISNUMBER(H11)),H11,"")</f>
        <v>0.811919587262053</v>
      </c>
      <c r="X11" s="39" t="str">
        <f aca="false">IF(ISNUMBER(INDEX(Normalisation!$J$5:$J$25,MATCH($A11,Normalisation!$A$5:$A$25,0))),INDEX(Normalisation!$J$5:$J$25,MATCH($A11,Normalisation!$A$5:$A$25,0)),"")</f>
        <v/>
      </c>
      <c r="Y11" s="31" t="str">
        <f aca="false">IF(ISNUMBER(INDEX(Normalisation!$K$5:$K$25,MATCH($A11,Normalisation!$A$5:$A$25,0))),INDEX(Normalisation!$K$5:$K$25,MATCH($A11,Normalisation!$A$5:$A$25,0)),"")</f>
        <v/>
      </c>
      <c r="Z11" s="35" t="str">
        <f aca="false">IF(AND(ISNUMBER(X11),ISNUMBER(Y11)),Y11/(X11*365/1000000),"")</f>
        <v/>
      </c>
      <c r="AA11" s="38" t="str">
        <f aca="false">IF(ISNUMBER(Z11),Z11/$W$28,"")</f>
        <v/>
      </c>
    </row>
    <row r="12" customFormat="false" ht="15" hidden="false" customHeight="true" outlineLevel="0" collapsed="false">
      <c r="A12" s="18" t="s">
        <v>99</v>
      </c>
      <c r="B12" s="29" t="str">
        <f aca="false">INDEX(Normalisation!$B$5:$B$25,MATCH($A12,Normalisation!$A$5:$A$25,0))</f>
        <v>Mid (20-100k)</v>
      </c>
      <c r="C12" s="34" t="n">
        <f aca="false">IFERROR(IF(ISNUMBER(INDEX(Raw_Data!$K$5:$K$46,MATCH($A12&amp;"|"&amp;$C$3,Raw_Data!$A$5:$A$46,0))),INDEX(Raw_Data!$K$5:$K$46,MATCH($A12&amp;"|"&amp;$C$3,Raw_Data!$A$5:$A$46,0)),"n/a"),"n/a")</f>
        <v>40400</v>
      </c>
      <c r="D12" s="31" t="n">
        <f aca="false">IF(ISNUMBER(C12),C12*365/1000000,"n/a")</f>
        <v>14.746</v>
      </c>
      <c r="E12" s="30" t="n">
        <f aca="false">IFERROR(IF(ISNUMBER(INDEX(Normalisation!$D$38:$D$79,MATCH($A12&amp;"|"&amp;$C$3,Normalisation!$A$38:$A$79,0))),INDEX(Normalisation!$D$38:$D$79,MATCH($A12&amp;"|"&amp;$C$3,Normalisation!$A$38:$A$79,0)),"n/a"),"n/a")</f>
        <v>45</v>
      </c>
      <c r="F12" s="30" t="n">
        <f aca="false">IFERROR(IF(ISNUMBER(INDEX(Normalisation!$G$38:$G$79,MATCH($A12&amp;"|"&amp;$C$3,Normalisation!$A$38:$A$79,0))),INDEX(Normalisation!$G$38:$G$79,MATCH($A12&amp;"|"&amp;$C$3,Normalisation!$A$38:$A$79,0)),"n/a"),"n/a")</f>
        <v>37.8</v>
      </c>
      <c r="G12" s="35" t="n">
        <f aca="false">IF(AND(ISNUMBER(E12),ISNUMBER(D12)),E12/D12,"n/a")</f>
        <v>3.05167503051675</v>
      </c>
      <c r="H12" s="35" t="n">
        <f aca="false">IF(AND(ISNUMBER(F12),ISNUMBER(D12)),F12/D12,"n/a")</f>
        <v>2.56340702563407</v>
      </c>
      <c r="I12" s="36" t="n">
        <f aca="false">IF(AND(ISNUMBER(F12),ISNUMBER(C12)),F12/(C12/1000),"n/a")</f>
        <v>0.935643564356436</v>
      </c>
      <c r="J12" s="37" t="n">
        <f aca="false">IFERROR(IF(AND(ISNUMBER(F12),INDEX(Raw_Data!$M$5:$M$46,MATCH($A12&amp;"|"&amp;$C$3,Raw_Data!$A$5:$A$46,0))&gt;0),F12/INDEX(Raw_Data!$M$5:$M$46,MATCH($A12&amp;"|"&amp;$C$3,Raw_Data!$A$5:$A$46,0)),"n/a"),"n/a")</f>
        <v>0.0446280991735537</v>
      </c>
      <c r="K12" s="37" t="n">
        <f aca="false">IFERROR(IF(AND(ISNUMBER(F12),INDEX(Raw_Data!$N$5:$N$46,MATCH($A12&amp;"|"&amp;$C$3,Raw_Data!$A$5:$A$46,0))&gt;0),F12/INDEX(Raw_Data!$N$5:$N$46,MATCH($A12&amp;"|"&amp;$C$3,Raw_Data!$A$5:$A$46,0)),"n/a"),"n/a")</f>
        <v>0.0645051194539249</v>
      </c>
      <c r="L12" s="37" t="n">
        <f aca="false">IFERROR(IF(AND(ISNUMBER(F12),INDEX(Raw_Data!$O$5:$O$46,MATCH($A12&amp;"|"&amp;$C$3,Raw_Data!$A$5:$A$46,0))&gt;0),F12/INDEX(Raw_Data!$O$5:$O$46,MATCH($A12&amp;"|"&amp;$C$3,Raw_Data!$A$5:$A$46,0)),"n/a"),"n/a")</f>
        <v>0.113072090936285</v>
      </c>
      <c r="M12" s="31" t="n">
        <f aca="false">IFERROR(IF(AND(ISNUMBER(F12),INDEX(Raw_Data!$R$5:$R$46,MATCH($A12&amp;"|"&amp;$C$3,Raw_Data!$A$5:$A$46,0))&gt;0),F12*1000/INDEX(Raw_Data!$R$5:$R$46,MATCH($A12&amp;"|"&amp;$C$3,Raw_Data!$A$5:$A$46,0)),"n/a"),"n/a")</f>
        <v>109.248554913295</v>
      </c>
      <c r="N12" s="37" t="n">
        <f aca="false">IFERROR(IF(AND(ISNUMBER(F12),ISNUMBER(INDEX(Normalisation!$G$38:$G$79,MATCH($A12&amp;"|"&amp;TEXT(VALUE($C$3)-1,"0"),Normalisation!$A$38:$A$79,0)))),F12/INDEX(Normalisation!$G$38:$G$79,MATCH($A12&amp;"|"&amp;TEXT(VALUE($C$3)-1,"0"),Normalisation!$A$38:$A$79,0))-1,"n/a"),"n/a")</f>
        <v>-0.172866520787746</v>
      </c>
      <c r="O12" s="37" t="n">
        <f aca="false">IFERROR(IF(AND(ISNUMBER(C12),ISNUMBER(INDEX(Raw_Data!$K$5:$K$46,MATCH($A12&amp;"|"&amp;TEXT(VALUE($C$3)-1,"0"),Raw_Data!$A$5:$A$46,0)))),C12/INDEX(Raw_Data!$K$5:$K$46,MATCH($A12&amp;"|"&amp;TEXT(VALUE($C$3)-1,"0"),Raw_Data!$A$5:$A$46,0))-1,"n/a"),"n/a")</f>
        <v>-0.215533980582524</v>
      </c>
      <c r="P12" s="37" t="n">
        <f aca="false">IF(AND(ISNUMBER(N12),ISNUMBER(O12)),N12-O12,"n/a")</f>
        <v>0.0426674597947779</v>
      </c>
      <c r="Q12" s="18" t="n">
        <f aca="false">IF(ISNUMBER(W12),RANK(W12,$W$6:$W$26,0),"")</f>
        <v>12</v>
      </c>
      <c r="R12" s="38" t="n">
        <f aca="false">IF(ISNUMBER(W12),W12/$W$28,"n/a")</f>
        <v>0.90508824795523</v>
      </c>
      <c r="S12" s="18" t="str">
        <f aca="false">IF(V12="N","Excluded — see notes",IF(NOT(ISNUMBER(R12)),"Data gap",IF(R12&gt;=$H$3,"Outlier — investigate",IF(R12&lt;=1/$H$3,"Lean overhead","Within range"))))</f>
        <v>Within range</v>
      </c>
      <c r="T12" s="29" t="str">
        <f aca="false">IFERROR(INDEX(Normalisation!$J$38:$J$79,MATCH($A12&amp;"|"&amp;$C$3,Normalisation!$A$38:$A$79,0)),"No row for year")</f>
        <v>Company APM definition — narrower than IFRS line</v>
      </c>
      <c r="U12" s="35" t="n">
        <f aca="false">IFERROR(IF(AND(ISNUMBER(INDEX(Normalisation!$H$38:$H$79,MATCH($A12&amp;"|"&amp;$C$3,Normalisation!$A$38:$A$79,0))),ISNUMBER(D12)),INDEX(Normalisation!$H$38:$H$79,MATCH($A12&amp;"|"&amp;$C$3,Normalisation!$A$38:$A$79,0))/D12,"n/a"),"n/a")</f>
        <v>9.29065509290655</v>
      </c>
      <c r="V12" s="29" t="str">
        <f aca="false">INDEX(Normalisation!$M$5:$M$25,MATCH($A12,Normalisation!$A$5:$A$25,0))</f>
        <v>Y</v>
      </c>
      <c r="W12" s="35" t="n">
        <f aca="false">IF(AND(V12="Y",ISNUMBER(H12)),H12,"")</f>
        <v>2.56340702563407</v>
      </c>
      <c r="X12" s="39" t="str">
        <f aca="false">IF(ISNUMBER(INDEX(Normalisation!$J$5:$J$25,MATCH($A12,Normalisation!$A$5:$A$25,0))),INDEX(Normalisation!$J$5:$J$25,MATCH($A12,Normalisation!$A$5:$A$25,0)),"")</f>
        <v/>
      </c>
      <c r="Y12" s="31" t="str">
        <f aca="false">IF(ISNUMBER(INDEX(Normalisation!$K$5:$K$25,MATCH($A12,Normalisation!$A$5:$A$25,0))),INDEX(Normalisation!$K$5:$K$25,MATCH($A12,Normalisation!$A$5:$A$25,0)),"")</f>
        <v/>
      </c>
      <c r="Z12" s="35" t="str">
        <f aca="false">IF(AND(ISNUMBER(X12),ISNUMBER(Y12)),Y12/(X12*365/1000000),"")</f>
        <v/>
      </c>
      <c r="AA12" s="38" t="str">
        <f aca="false">IF(ISNUMBER(Z12),Z12/$W$28,"")</f>
        <v/>
      </c>
    </row>
    <row r="13" customFormat="false" ht="15" hidden="false" customHeight="true" outlineLevel="0" collapsed="false">
      <c r="A13" s="18" t="s">
        <v>106</v>
      </c>
      <c r="B13" s="29" t="str">
        <f aca="false">INDEX(Normalisation!$B$5:$B$25,MATCH($A13,Normalisation!$A$5:$A$25,0))</f>
        <v>Mid (20-100k)</v>
      </c>
      <c r="C13" s="34" t="n">
        <f aca="false">IFERROR(IF(ISNUMBER(INDEX(Raw_Data!$K$5:$K$46,MATCH($A13&amp;"|"&amp;$C$3,Raw_Data!$A$5:$A$46,0))),INDEX(Raw_Data!$K$5:$K$46,MATCH($A13&amp;"|"&amp;$C$3,Raw_Data!$A$5:$A$46,0)),"n/a"),"n/a")</f>
        <v>33248</v>
      </c>
      <c r="D13" s="31" t="n">
        <f aca="false">IF(ISNUMBER(C13),C13*365/1000000,"n/a")</f>
        <v>12.13552</v>
      </c>
      <c r="E13" s="30" t="n">
        <f aca="false">IFERROR(IF(ISNUMBER(INDEX(Normalisation!$D$38:$D$79,MATCH($A13&amp;"|"&amp;$C$3,Normalisation!$A$38:$A$79,0))),INDEX(Normalisation!$D$38:$D$79,MATCH($A13&amp;"|"&amp;$C$3,Normalisation!$A$38:$A$79,0)),"n/a"),"n/a")</f>
        <v>16.272</v>
      </c>
      <c r="F13" s="30" t="n">
        <f aca="false">IFERROR(IF(ISNUMBER(INDEX(Normalisation!$G$38:$G$79,MATCH($A13&amp;"|"&amp;$C$3,Normalisation!$A$38:$A$79,0))),INDEX(Normalisation!$G$38:$G$79,MATCH($A13&amp;"|"&amp;$C$3,Normalisation!$A$38:$A$79,0)),"n/a"),"n/a")</f>
        <v>9.313</v>
      </c>
      <c r="G13" s="35" t="n">
        <f aca="false">IF(AND(ISNUMBER(E13),ISNUMBER(D13)),E13/D13,"n/a")</f>
        <v>1.34085725209962</v>
      </c>
      <c r="H13" s="35" t="n">
        <f aca="false">IF(AND(ISNUMBER(F13),ISNUMBER(D13)),F13/D13,"n/a")</f>
        <v>0.767416641396496</v>
      </c>
      <c r="I13" s="36" t="n">
        <f aca="false">IF(AND(ISNUMBER(F13),ISNUMBER(C13)),F13/(C13/1000),"n/a")</f>
        <v>0.280107074109721</v>
      </c>
      <c r="J13" s="37" t="n">
        <f aca="false">IFERROR(IF(AND(ISNUMBER(F13),INDEX(Raw_Data!$M$5:$M$46,MATCH($A13&amp;"|"&amp;$C$3,Raw_Data!$A$5:$A$46,0))&gt;0),F13/INDEX(Raw_Data!$M$5:$M$46,MATCH($A13&amp;"|"&amp;$C$3,Raw_Data!$A$5:$A$46,0)),"n/a"),"n/a")</f>
        <v>0.0565109223300971</v>
      </c>
      <c r="K13" s="37" t="n">
        <f aca="false">IFERROR(IF(AND(ISNUMBER(F13),INDEX(Raw_Data!$N$5:$N$46,MATCH($A13&amp;"|"&amp;$C$3,Raw_Data!$A$5:$A$46,0))&gt;0),F13/INDEX(Raw_Data!$N$5:$N$46,MATCH($A13&amp;"|"&amp;$C$3,Raw_Data!$A$5:$A$46,0)),"n/a"),"n/a")</f>
        <v>0.0835996409335727</v>
      </c>
      <c r="L13" s="37" t="n">
        <f aca="false">IFERROR(IF(AND(ISNUMBER(F13),INDEX(Raw_Data!$O$5:$O$46,MATCH($A13&amp;"|"&amp;$C$3,Raw_Data!$A$5:$A$46,0))&gt;0),F13/INDEX(Raw_Data!$O$5:$O$46,MATCH($A13&amp;"|"&amp;$C$3,Raw_Data!$A$5:$A$46,0)),"n/a"),"n/a")</f>
        <v>0.147600481805503</v>
      </c>
      <c r="M13" s="31" t="n">
        <f aca="false">IFERROR(IF(AND(ISNUMBER(F13),INDEX(Raw_Data!$R$5:$R$46,MATCH($A13&amp;"|"&amp;$C$3,Raw_Data!$A$5:$A$46,0))&gt;0),F13*1000/INDEX(Raw_Data!$R$5:$R$46,MATCH($A13&amp;"|"&amp;$C$3,Raw_Data!$A$5:$A$46,0)),"n/a"),"n/a")</f>
        <v>21.5080831408776</v>
      </c>
      <c r="N13" s="37" t="n">
        <f aca="false">IFERROR(IF(AND(ISNUMBER(F13),ISNUMBER(INDEX(Normalisation!$G$38:$G$79,MATCH($A13&amp;"|"&amp;TEXT(VALUE($C$3)-1,"0"),Normalisation!$A$38:$A$79,0)))),F13/INDEX(Normalisation!$G$38:$G$79,MATCH($A13&amp;"|"&amp;TEXT(VALUE($C$3)-1,"0"),Normalisation!$A$38:$A$79,0))-1,"n/a"),"n/a")</f>
        <v>-0.183929197336137</v>
      </c>
      <c r="O13" s="37" t="n">
        <f aca="false">IFERROR(IF(AND(ISNUMBER(C13),ISNUMBER(INDEX(Raw_Data!$K$5:$K$46,MATCH($A13&amp;"|"&amp;TEXT(VALUE($C$3)-1,"0"),Raw_Data!$A$5:$A$46,0)))),C13/INDEX(Raw_Data!$K$5:$K$46,MATCH($A13&amp;"|"&amp;TEXT(VALUE($C$3)-1,"0"),Raw_Data!$A$5:$A$46,0))-1,"n/a"),"n/a")</f>
        <v>0.0214062768807295</v>
      </c>
      <c r="P13" s="37" t="n">
        <f aca="false">IF(AND(ISNUMBER(N13),ISNUMBER(O13)),N13-O13,"n/a")</f>
        <v>-0.205335474216867</v>
      </c>
      <c r="Q13" s="18" t="n">
        <f aca="false">IF(ISNUMBER(W13),RANK(W13,$W$6:$W$26,0),"")</f>
        <v>18</v>
      </c>
      <c r="R13" s="38" t="n">
        <f aca="false">IF(ISNUMBER(W13),W13/$W$28,"n/a")</f>
        <v>0.270959616037346</v>
      </c>
      <c r="S13" s="18" t="str">
        <f aca="false">IF(V13="N","Excluded — see notes",IF(NOT(ISNUMBER(R13)),"Data gap",IF(R13&gt;=$H$3,"Outlier — investigate",IF(R13&lt;=1/$H$3,"Lean overhead","Within range"))))</f>
        <v>Lean overhead</v>
      </c>
      <c r="T13" s="29" t="str">
        <f aca="false">IFERROR(INDEX(Normalisation!$J$38:$J$79,MATCH($A13&amp;"|"&amp;$C$3,Normalisation!$A$38:$A$79,0)),"No row for year")</f>
        <v>IFRS line</v>
      </c>
      <c r="U13" s="35" t="str">
        <f aca="false">IFERROR(IF(AND(ISNUMBER(INDEX(Normalisation!$H$38:$H$79,MATCH($A13&amp;"|"&amp;$C$3,Normalisation!$A$38:$A$79,0))),ISNUMBER(D13)),INDEX(Normalisation!$H$38:$H$79,MATCH($A13&amp;"|"&amp;$C$3,Normalisation!$A$38:$A$79,0))/D13,"n/a"),"n/a")</f>
        <v>n/a</v>
      </c>
      <c r="V13" s="29" t="str">
        <f aca="false">INDEX(Normalisation!$M$5:$M$25,MATCH($A13,Normalisation!$A$5:$A$25,0))</f>
        <v>Y</v>
      </c>
      <c r="W13" s="35" t="n">
        <f aca="false">IF(AND(V13="Y",ISNUMBER(H13)),H13,"")</f>
        <v>0.767416641396496</v>
      </c>
      <c r="X13" s="39" t="str">
        <f aca="false">IF(ISNUMBER(INDEX(Normalisation!$J$5:$J$25,MATCH($A13,Normalisation!$A$5:$A$25,0))),INDEX(Normalisation!$J$5:$J$25,MATCH($A13,Normalisation!$A$5:$A$25,0)),"")</f>
        <v/>
      </c>
      <c r="Y13" s="31" t="str">
        <f aca="false">IF(ISNUMBER(INDEX(Normalisation!$K$5:$K$25,MATCH($A13,Normalisation!$A$5:$A$25,0))),INDEX(Normalisation!$K$5:$K$25,MATCH($A13,Normalisation!$A$5:$A$25,0)),"")</f>
        <v/>
      </c>
      <c r="Z13" s="35" t="str">
        <f aca="false">IF(AND(ISNUMBER(X13),ISNUMBER(Y13)),Y13/(X13*365/1000000),"")</f>
        <v/>
      </c>
      <c r="AA13" s="38" t="str">
        <f aca="false">IF(ISNUMBER(Z13),Z13/$W$28,"")</f>
        <v/>
      </c>
    </row>
    <row r="14" customFormat="false" ht="15" hidden="false" customHeight="true" outlineLevel="0" collapsed="false">
      <c r="A14" s="18" t="s">
        <v>117</v>
      </c>
      <c r="B14" s="29" t="str">
        <f aca="false">INDEX(Normalisation!$B$5:$B$25,MATCH($A14,Normalisation!$A$5:$A$25,0))</f>
        <v>Small (&lt;20k)</v>
      </c>
      <c r="C14" s="34" t="n">
        <f aca="false">IFERROR(IF(ISNUMBER(INDEX(Raw_Data!$K$5:$K$46,MATCH($A14&amp;"|"&amp;$C$3,Raw_Data!$A$5:$A$46,0))),INDEX(Raw_Data!$K$5:$K$46,MATCH($A14&amp;"|"&amp;$C$3,Raw_Data!$A$5:$A$46,0)),"n/a"),"n/a")</f>
        <v>19829</v>
      </c>
      <c r="D14" s="31" t="n">
        <f aca="false">IF(ISNUMBER(C14),C14*365/1000000,"n/a")</f>
        <v>7.237585</v>
      </c>
      <c r="E14" s="30" t="n">
        <f aca="false">IFERROR(IF(ISNUMBER(INDEX(Normalisation!$D$38:$D$79,MATCH($A14&amp;"|"&amp;$C$3,Normalisation!$A$38:$A$79,0))),INDEX(Normalisation!$D$38:$D$79,MATCH($A14&amp;"|"&amp;$C$3,Normalisation!$A$38:$A$79,0)),"n/a"),"n/a")</f>
        <v>23.781</v>
      </c>
      <c r="F14" s="30" t="n">
        <f aca="false">IFERROR(IF(ISNUMBER(INDEX(Normalisation!$G$38:$G$79,MATCH($A14&amp;"|"&amp;$C$3,Normalisation!$A$38:$A$79,0))),INDEX(Normalisation!$G$38:$G$79,MATCH($A14&amp;"|"&amp;$C$3,Normalisation!$A$38:$A$79,0)),"n/a"),"n/a")</f>
        <v>23.781</v>
      </c>
      <c r="G14" s="35" t="n">
        <f aca="false">IF(AND(ISNUMBER(E14),ISNUMBER(D14)),E14/D14,"n/a")</f>
        <v>3.2857645195186</v>
      </c>
      <c r="H14" s="35" t="n">
        <f aca="false">IF(AND(ISNUMBER(F14),ISNUMBER(D14)),F14/D14,"n/a")</f>
        <v>3.2857645195186</v>
      </c>
      <c r="I14" s="36" t="n">
        <f aca="false">IF(AND(ISNUMBER(F14),ISNUMBER(C14)),F14/(C14/1000),"n/a")</f>
        <v>1.19930404962429</v>
      </c>
      <c r="J14" s="37" t="n">
        <f aca="false">IFERROR(IF(AND(ISNUMBER(F14),INDEX(Raw_Data!$M$5:$M$46,MATCH($A14&amp;"|"&amp;$C$3,Raw_Data!$A$5:$A$46,0))&gt;0),F14/INDEX(Raw_Data!$M$5:$M$46,MATCH($A14&amp;"|"&amp;$C$3,Raw_Data!$A$5:$A$46,0)),"n/a"),"n/a")</f>
        <v>0.0582724822347464</v>
      </c>
      <c r="K14" s="37" t="n">
        <f aca="false">IFERROR(IF(AND(ISNUMBER(F14),INDEX(Raw_Data!$N$5:$N$46,MATCH($A14&amp;"|"&amp;$C$3,Raw_Data!$A$5:$A$46,0))&gt;0),F14/INDEX(Raw_Data!$N$5:$N$46,MATCH($A14&amp;"|"&amp;$C$3,Raw_Data!$A$5:$A$46,0)),"n/a"),"n/a")</f>
        <v>0.15543137254902</v>
      </c>
      <c r="L14" s="37" t="n">
        <f aca="false">IFERROR(IF(AND(ISNUMBER(F14),INDEX(Raw_Data!$O$5:$O$46,MATCH($A14&amp;"|"&amp;$C$3,Raw_Data!$A$5:$A$46,0))&gt;0),F14/INDEX(Raw_Data!$O$5:$O$46,MATCH($A14&amp;"|"&amp;$C$3,Raw_Data!$A$5:$A$46,0)),"n/a"),"n/a")</f>
        <v>0.260225855163811</v>
      </c>
      <c r="M14" s="31" t="n">
        <f aca="false">IFERROR(IF(AND(ISNUMBER(F14),INDEX(Raw_Data!$R$5:$R$46,MATCH($A14&amp;"|"&amp;$C$3,Raw_Data!$A$5:$A$46,0))&gt;0),F14*1000/INDEX(Raw_Data!$R$5:$R$46,MATCH($A14&amp;"|"&amp;$C$3,Raw_Data!$A$5:$A$46,0)),"n/a"),"n/a")</f>
        <v>56.4869358669834</v>
      </c>
      <c r="N14" s="37" t="n">
        <f aca="false">IFERROR(IF(AND(ISNUMBER(F14),ISNUMBER(INDEX(Normalisation!$G$38:$G$79,MATCH($A14&amp;"|"&amp;TEXT(VALUE($C$3)-1,"0"),Normalisation!$A$38:$A$79,0)))),F14/INDEX(Normalisation!$G$38:$G$79,MATCH($A14&amp;"|"&amp;TEXT(VALUE($C$3)-1,"0"),Normalisation!$A$38:$A$79,0))-1,"n/a"),"n/a")</f>
        <v>-0.0335284077054379</v>
      </c>
      <c r="O14" s="37" t="n">
        <f aca="false">IFERROR(IF(AND(ISNUMBER(C14),ISNUMBER(INDEX(Raw_Data!$K$5:$K$46,MATCH($A14&amp;"|"&amp;TEXT(VALUE($C$3)-1,"0"),Raw_Data!$A$5:$A$46,0)))),C14/INDEX(Raw_Data!$K$5:$K$46,MATCH($A14&amp;"|"&amp;TEXT(VALUE($C$3)-1,"0"),Raw_Data!$A$5:$A$46,0))-1,"n/a"),"n/a")</f>
        <v>0.0606011981172443</v>
      </c>
      <c r="P14" s="37" t="n">
        <f aca="false">IF(AND(ISNUMBER(N14),ISNUMBER(O14)),N14-O14,"n/a")</f>
        <v>-0.0941296058226822</v>
      </c>
      <c r="Q14" s="18" t="str">
        <f aca="false">IF(ISNUMBER(W14),RANK(W14,$W$6:$W$26,0),"")</f>
        <v/>
      </c>
      <c r="R14" s="38" t="str">
        <f aca="false">IF(ISNUMBER(W14),W14/$W$28,"n/a")</f>
        <v>n/a</v>
      </c>
      <c r="S14" s="18" t="str">
        <f aca="false">IF(V14="N","Excluded — see notes",IF(NOT(ISNUMBER(R14)),"Data gap",IF(R14&gt;=$H$3,"Outlier — investigate",IF(R14&lt;=1/$H$3,"Lean overhead","Within range"))))</f>
        <v>Excluded — see notes</v>
      </c>
      <c r="T14" s="29" t="str">
        <f aca="false">IFERROR(INDEX(Normalisation!$J$38:$J$79,MATCH($A14&amp;"|"&amp;$C$3,Normalisation!$A$38:$A$79,0)),"No row for year")</f>
        <v>IFRS line</v>
      </c>
      <c r="U14" s="35" t="str">
        <f aca="false">IFERROR(IF(AND(ISNUMBER(INDEX(Normalisation!$H$38:$H$79,MATCH($A14&amp;"|"&amp;$C$3,Normalisation!$A$38:$A$79,0))),ISNUMBER(D14)),INDEX(Normalisation!$H$38:$H$79,MATCH($A14&amp;"|"&amp;$C$3,Normalisation!$A$38:$A$79,0))/D14,"n/a"),"n/a")</f>
        <v>n/a</v>
      </c>
      <c r="V14" s="29" t="str">
        <f aca="false">INDEX(Normalisation!$M$5:$M$25,MATCH($A14,Normalisation!$A$5:$A$25,0))</f>
        <v>N</v>
      </c>
      <c r="W14" s="35" t="str">
        <f aca="false">IF(AND(V14="Y",ISNUMBER(H14)),H14,"")</f>
        <v/>
      </c>
      <c r="X14" s="39" t="str">
        <f aca="false">IF(ISNUMBER(INDEX(Normalisation!$J$5:$J$25,MATCH($A14,Normalisation!$A$5:$A$25,0))),INDEX(Normalisation!$J$5:$J$25,MATCH($A14,Normalisation!$A$5:$A$25,0)),"")</f>
        <v/>
      </c>
      <c r="Y14" s="31" t="str">
        <f aca="false">IF(ISNUMBER(INDEX(Normalisation!$K$5:$K$25,MATCH($A14,Normalisation!$A$5:$A$25,0))),INDEX(Normalisation!$K$5:$K$25,MATCH($A14,Normalisation!$A$5:$A$25,0)),"")</f>
        <v/>
      </c>
      <c r="Z14" s="35" t="str">
        <f aca="false">IF(AND(ISNUMBER(X14),ISNUMBER(Y14)),Y14/(X14*365/1000000),"")</f>
        <v/>
      </c>
      <c r="AA14" s="38" t="str">
        <f aca="false">IF(ISNUMBER(Z14),Z14/$W$28,"")</f>
        <v/>
      </c>
    </row>
    <row r="15" customFormat="false" ht="15" hidden="false" customHeight="true" outlineLevel="0" collapsed="false">
      <c r="A15" s="18" t="s">
        <v>126</v>
      </c>
      <c r="B15" s="29" t="str">
        <f aca="false">INDEX(Normalisation!$B$5:$B$25,MATCH($A15,Normalisation!$A$5:$A$25,0))</f>
        <v>Small (&lt;20k)</v>
      </c>
      <c r="C15" s="34" t="n">
        <f aca="false">IFERROR(IF(ISNUMBER(INDEX(Raw_Data!$K$5:$K$46,MATCH($A15&amp;"|"&amp;$C$3,Raw_Data!$A$5:$A$46,0))),INDEX(Raw_Data!$K$5:$K$46,MATCH($A15&amp;"|"&amp;$C$3,Raw_Data!$A$5:$A$46,0)),"n/a"),"n/a")</f>
        <v>8940</v>
      </c>
      <c r="D15" s="31" t="n">
        <f aca="false">IF(ISNUMBER(C15),C15*365/1000000,"n/a")</f>
        <v>3.2631</v>
      </c>
      <c r="E15" s="30" t="str">
        <f aca="false">IFERROR(IF(ISNUMBER(INDEX(Normalisation!$D$38:$D$79,MATCH($A15&amp;"|"&amp;$C$3,Normalisation!$A$38:$A$79,0))),INDEX(Normalisation!$D$38:$D$79,MATCH($A15&amp;"|"&amp;$C$3,Normalisation!$A$38:$A$79,0)),"n/a"),"n/a")</f>
        <v>n/a</v>
      </c>
      <c r="F15" s="30" t="str">
        <f aca="false">IFERROR(IF(ISNUMBER(INDEX(Normalisation!$G$38:$G$79,MATCH($A15&amp;"|"&amp;$C$3,Normalisation!$A$38:$A$79,0))),INDEX(Normalisation!$G$38:$G$79,MATCH($A15&amp;"|"&amp;$C$3,Normalisation!$A$38:$A$79,0)),"n/a"),"n/a")</f>
        <v>n/a</v>
      </c>
      <c r="G15" s="35" t="str">
        <f aca="false">IF(AND(ISNUMBER(E15),ISNUMBER(D15)),E15/D15,"n/a")</f>
        <v>n/a</v>
      </c>
      <c r="H15" s="35" t="str">
        <f aca="false">IF(AND(ISNUMBER(F15),ISNUMBER(D15)),F15/D15,"n/a")</f>
        <v>n/a</v>
      </c>
      <c r="I15" s="36" t="str">
        <f aca="false">IF(AND(ISNUMBER(F15),ISNUMBER(C15)),F15/(C15/1000),"n/a")</f>
        <v>n/a</v>
      </c>
      <c r="J15" s="37" t="str">
        <f aca="false">IFERROR(IF(AND(ISNUMBER(F15),INDEX(Raw_Data!$M$5:$M$46,MATCH($A15&amp;"|"&amp;$C$3,Raw_Data!$A$5:$A$46,0))&gt;0),F15/INDEX(Raw_Data!$M$5:$M$46,MATCH($A15&amp;"|"&amp;$C$3,Raw_Data!$A$5:$A$46,0)),"n/a"),"n/a")</f>
        <v>n/a</v>
      </c>
      <c r="K15" s="37" t="str">
        <f aca="false">IFERROR(IF(AND(ISNUMBER(F15),INDEX(Raw_Data!$N$5:$N$46,MATCH($A15&amp;"|"&amp;$C$3,Raw_Data!$A$5:$A$46,0))&gt;0),F15/INDEX(Raw_Data!$N$5:$N$46,MATCH($A15&amp;"|"&amp;$C$3,Raw_Data!$A$5:$A$46,0)),"n/a"),"n/a")</f>
        <v>n/a</v>
      </c>
      <c r="L15" s="37" t="str">
        <f aca="false">IFERROR(IF(AND(ISNUMBER(F15),INDEX(Raw_Data!$O$5:$O$46,MATCH($A15&amp;"|"&amp;$C$3,Raw_Data!$A$5:$A$46,0))&gt;0),F15/INDEX(Raw_Data!$O$5:$O$46,MATCH($A15&amp;"|"&amp;$C$3,Raw_Data!$A$5:$A$46,0)),"n/a"),"n/a")</f>
        <v>n/a</v>
      </c>
      <c r="M15" s="31" t="str">
        <f aca="false">IFERROR(IF(AND(ISNUMBER(F15),INDEX(Raw_Data!$R$5:$R$46,MATCH($A15&amp;"|"&amp;$C$3,Raw_Data!$A$5:$A$46,0))&gt;0),F15*1000/INDEX(Raw_Data!$R$5:$R$46,MATCH($A15&amp;"|"&amp;$C$3,Raw_Data!$A$5:$A$46,0)),"n/a"),"n/a")</f>
        <v>n/a</v>
      </c>
      <c r="N15" s="37" t="str">
        <f aca="false">IFERROR(IF(AND(ISNUMBER(F15),ISNUMBER(INDEX(Normalisation!$G$38:$G$79,MATCH($A15&amp;"|"&amp;TEXT(VALUE($C$3)-1,"0"),Normalisation!$A$38:$A$79,0)))),F15/INDEX(Normalisation!$G$38:$G$79,MATCH($A15&amp;"|"&amp;TEXT(VALUE($C$3)-1,"0"),Normalisation!$A$38:$A$79,0))-1,"n/a"),"n/a")</f>
        <v>n/a</v>
      </c>
      <c r="O15" s="37" t="n">
        <f aca="false">IFERROR(IF(AND(ISNUMBER(C15),ISNUMBER(INDEX(Raw_Data!$K$5:$K$46,MATCH($A15&amp;"|"&amp;TEXT(VALUE($C$3)-1,"0"),Raw_Data!$A$5:$A$46,0)))),C15/INDEX(Raw_Data!$K$5:$K$46,MATCH($A15&amp;"|"&amp;TEXT(VALUE($C$3)-1,"0"),Raw_Data!$A$5:$A$46,0))-1,"n/a"),"n/a")</f>
        <v>0.11055900621118</v>
      </c>
      <c r="P15" s="37" t="str">
        <f aca="false">IF(AND(ISNUMBER(N15),ISNUMBER(O15)),N15-O15,"n/a")</f>
        <v>n/a</v>
      </c>
      <c r="Q15" s="18" t="str">
        <f aca="false">IF(ISNUMBER(W15),RANK(W15,$W$6:$W$26,0),"")</f>
        <v/>
      </c>
      <c r="R15" s="38" t="str">
        <f aca="false">IF(ISNUMBER(W15),W15/$W$28,"n/a")</f>
        <v>n/a</v>
      </c>
      <c r="S15" s="18" t="str">
        <f aca="false">IF(V15="N","Excluded — see notes",IF(NOT(ISNUMBER(R15)),"Data gap",IF(R15&gt;=$H$3,"Outlier — investigate",IF(R15&lt;=1/$H$3,"Lean overhead","Within range"))))</f>
        <v>Data gap</v>
      </c>
      <c r="T15" s="29" t="str">
        <f aca="false">IFERROR(INDEX(Normalisation!$J$38:$J$79,MATCH($A15&amp;"|"&amp;$C$3,Normalisation!$A$38:$A$79,0)),"No row for year")</f>
        <v>G&amp;A not yet sourced</v>
      </c>
      <c r="U15" s="35" t="str">
        <f aca="false">IFERROR(IF(AND(ISNUMBER(INDEX(Normalisation!$H$38:$H$79,MATCH($A15&amp;"|"&amp;$C$3,Normalisation!$A$38:$A$79,0))),ISNUMBER(D15)),INDEX(Normalisation!$H$38:$H$79,MATCH($A15&amp;"|"&amp;$C$3,Normalisation!$A$38:$A$79,0))/D15,"n/a"),"n/a")</f>
        <v>n/a</v>
      </c>
      <c r="V15" s="29" t="str">
        <f aca="false">INDEX(Normalisation!$M$5:$M$25,MATCH($A15,Normalisation!$A$5:$A$25,0))</f>
        <v>Y</v>
      </c>
      <c r="W15" s="35" t="str">
        <f aca="false">IF(AND(V15="Y",ISNUMBER(H15)),H15,"")</f>
        <v/>
      </c>
      <c r="X15" s="39" t="n">
        <f aca="false">IF(ISNUMBER(INDEX(Normalisation!$J$5:$J$25,MATCH($A15,Normalisation!$A$5:$A$25,0))),INDEX(Normalisation!$J$5:$J$25,MATCH($A15,Normalisation!$A$5:$A$25,0)),"")</f>
        <v>20000</v>
      </c>
      <c r="Y15" s="31" t="n">
        <f aca="false">IF(ISNUMBER(INDEX(Normalisation!$K$5:$K$25,MATCH($A15,Normalisation!$A$5:$A$25,0))),INDEX(Normalisation!$K$5:$K$25,MATCH($A15,Normalisation!$A$5:$A$25,0)),"")</f>
        <v>26.186</v>
      </c>
      <c r="Z15" s="35" t="n">
        <f aca="false">IF(AND(ISNUMBER(X15),ISNUMBER(Y15)),Y15/(X15*365/1000000),"")</f>
        <v>3.58712328767123</v>
      </c>
      <c r="AA15" s="38" t="n">
        <f aca="false">IF(ISNUMBER(Z15),Z15/$W$28,"")</f>
        <v>1.26654218357488</v>
      </c>
    </row>
    <row r="16" customFormat="false" ht="15" hidden="false" customHeight="true" outlineLevel="0" collapsed="false">
      <c r="A16" s="18" t="s">
        <v>133</v>
      </c>
      <c r="B16" s="29" t="str">
        <f aca="false">INDEX(Normalisation!$B$5:$B$25,MATCH($A16,Normalisation!$A$5:$A$25,0))</f>
        <v>Small (&lt;20k)</v>
      </c>
      <c r="C16" s="34" t="n">
        <f aca="false">IFERROR(IF(ISNUMBER(INDEX(Raw_Data!$K$5:$K$46,MATCH($A16&amp;"|"&amp;$C$3,Raw_Data!$A$5:$A$46,0))),INDEX(Raw_Data!$K$5:$K$46,MATCH($A16&amp;"|"&amp;$C$3,Raw_Data!$A$5:$A$46,0)),"n/a"),"n/a")</f>
        <v>5398</v>
      </c>
      <c r="D16" s="31" t="n">
        <f aca="false">IF(ISNUMBER(C16),C16*365/1000000,"n/a")</f>
        <v>1.97027</v>
      </c>
      <c r="E16" s="30" t="n">
        <f aca="false">IFERROR(IF(ISNUMBER(INDEX(Normalisation!$D$38:$D$79,MATCH($A16&amp;"|"&amp;$C$3,Normalisation!$A$38:$A$79,0))),INDEX(Normalisation!$D$38:$D$79,MATCH($A16&amp;"|"&amp;$C$3,Normalisation!$A$38:$A$79,0)),"n/a"),"n/a")</f>
        <v>8.8</v>
      </c>
      <c r="F16" s="30" t="n">
        <f aca="false">IFERROR(IF(ISNUMBER(INDEX(Normalisation!$G$38:$G$79,MATCH($A16&amp;"|"&amp;$C$3,Normalisation!$A$38:$A$79,0))),INDEX(Normalisation!$G$38:$G$79,MATCH($A16&amp;"|"&amp;$C$3,Normalisation!$A$38:$A$79,0)),"n/a"),"n/a")</f>
        <v>7.2</v>
      </c>
      <c r="G16" s="35" t="n">
        <f aca="false">IF(AND(ISNUMBER(E16),ISNUMBER(D16)),E16/D16,"n/a")</f>
        <v>4.4663929309181</v>
      </c>
      <c r="H16" s="35" t="n">
        <f aca="false">IF(AND(ISNUMBER(F16),ISNUMBER(D16)),F16/D16,"n/a")</f>
        <v>3.65432148893299</v>
      </c>
      <c r="I16" s="36" t="n">
        <f aca="false">IF(AND(ISNUMBER(F16),ISNUMBER(C16)),F16/(C16/1000),"n/a")</f>
        <v>1.33382734346054</v>
      </c>
      <c r="J16" s="37" t="n">
        <f aca="false">IFERROR(IF(AND(ISNUMBER(F16),INDEX(Raw_Data!$M$5:$M$46,MATCH($A16&amp;"|"&amp;$C$3,Raw_Data!$A$5:$A$46,0))&gt;0),F16/INDEX(Raw_Data!$M$5:$M$46,MATCH($A16&amp;"|"&amp;$C$3,Raw_Data!$A$5:$A$46,0)),"n/a"),"n/a")</f>
        <v>0.0628272251308901</v>
      </c>
      <c r="K16" s="37" t="n">
        <f aca="false">IFERROR(IF(AND(ISNUMBER(F16),INDEX(Raw_Data!$N$5:$N$46,MATCH($A16&amp;"|"&amp;$C$3,Raw_Data!$A$5:$A$46,0))&gt;0),F16/INDEX(Raw_Data!$N$5:$N$46,MATCH($A16&amp;"|"&amp;$C$3,Raw_Data!$A$5:$A$46,0)),"n/a"),"n/a")</f>
        <v>0.130198915009042</v>
      </c>
      <c r="L16" s="37" t="n">
        <f aca="false">IFERROR(IF(AND(ISNUMBER(F16),INDEX(Raw_Data!$O$5:$O$46,MATCH($A16&amp;"|"&amp;$C$3,Raw_Data!$A$5:$A$46,0))&gt;0),F16/INDEX(Raw_Data!$O$5:$O$46,MATCH($A16&amp;"|"&amp;$C$3,Raw_Data!$A$5:$A$46,0)),"n/a"),"n/a")</f>
        <v>0.129496402877698</v>
      </c>
      <c r="M16" s="31" t="n">
        <f aca="false">IFERROR(IF(AND(ISNUMBER(F16),INDEX(Raw_Data!$R$5:$R$46,MATCH($A16&amp;"|"&amp;$C$3,Raw_Data!$A$5:$A$46,0))&gt;0),F16*1000/INDEX(Raw_Data!$R$5:$R$46,MATCH($A16&amp;"|"&amp;$C$3,Raw_Data!$A$5:$A$46,0)),"n/a"),"n/a")</f>
        <v>225</v>
      </c>
      <c r="N16" s="37" t="n">
        <f aca="false">IFERROR(IF(AND(ISNUMBER(F16),ISNUMBER(INDEX(Normalisation!$G$38:$G$79,MATCH($A16&amp;"|"&amp;TEXT(VALUE($C$3)-1,"0"),Normalisation!$A$38:$A$79,0)))),F16/INDEX(Normalisation!$G$38:$G$79,MATCH($A16&amp;"|"&amp;TEXT(VALUE($C$3)-1,"0"),Normalisation!$A$38:$A$79,0))-1,"n/a"),"n/a")</f>
        <v>-0.0769230769230767</v>
      </c>
      <c r="O16" s="37" t="n">
        <f aca="false">IFERROR(IF(AND(ISNUMBER(C16),ISNUMBER(INDEX(Raw_Data!$K$5:$K$46,MATCH($A16&amp;"|"&amp;TEXT(VALUE($C$3)-1,"0"),Raw_Data!$A$5:$A$46,0)))),C16/INDEX(Raw_Data!$K$5:$K$46,MATCH($A16&amp;"|"&amp;TEXT(VALUE($C$3)-1,"0"),Raw_Data!$A$5:$A$46,0))-1,"n/a"),"n/a")</f>
        <v>-0.0694707808998448</v>
      </c>
      <c r="P16" s="37" t="n">
        <f aca="false">IF(AND(ISNUMBER(N16),ISNUMBER(O16)),N16-O16,"n/a")</f>
        <v>-0.00745229602323183</v>
      </c>
      <c r="Q16" s="18" t="n">
        <f aca="false">IF(ISNUMBER(W16),RANK(W16,$W$6:$W$26,0),"")</f>
        <v>8</v>
      </c>
      <c r="R16" s="38" t="n">
        <f aca="false">IF(ISNUMBER(W16),W16/$W$28,"n/a")</f>
        <v>1.29026853746154</v>
      </c>
      <c r="S16" s="18" t="str">
        <f aca="false">IF(V16="N","Excluded — see notes",IF(NOT(ISNUMBER(R16)),"Data gap",IF(R16&gt;=$H$3,"Outlier — investigate",IF(R16&lt;=1/$H$3,"Lean overhead","Within range"))))</f>
        <v>Within range</v>
      </c>
      <c r="T16" s="29" t="str">
        <f aca="false">IFERROR(INDEX(Normalisation!$J$38:$J$79,MATCH($A16&amp;"|"&amp;$C$3,Normalisation!$A$38:$A$79,0)),"No row for year")</f>
        <v>IFRS line</v>
      </c>
      <c r="U16" s="35" t="str">
        <f aca="false">IFERROR(IF(AND(ISNUMBER(INDEX(Normalisation!$H$38:$H$79,MATCH($A16&amp;"|"&amp;$C$3,Normalisation!$A$38:$A$79,0))),ISNUMBER(D16)),INDEX(Normalisation!$H$38:$H$79,MATCH($A16&amp;"|"&amp;$C$3,Normalisation!$A$38:$A$79,0))/D16,"n/a"),"n/a")</f>
        <v>n/a</v>
      </c>
      <c r="V16" s="29" t="str">
        <f aca="false">INDEX(Normalisation!$M$5:$M$25,MATCH($A16,Normalisation!$A$5:$A$25,0))</f>
        <v>Y</v>
      </c>
      <c r="W16" s="35" t="n">
        <f aca="false">IF(AND(V16="Y",ISNUMBER(H16)),H16,"")</f>
        <v>3.65432148893299</v>
      </c>
      <c r="X16" s="39" t="str">
        <f aca="false">IF(ISNUMBER(INDEX(Normalisation!$J$5:$J$25,MATCH($A16,Normalisation!$A$5:$A$25,0))),INDEX(Normalisation!$J$5:$J$25,MATCH($A16,Normalisation!$A$5:$A$25,0)),"")</f>
        <v/>
      </c>
      <c r="Y16" s="31" t="str">
        <f aca="false">IF(ISNUMBER(INDEX(Normalisation!$K$5:$K$25,MATCH($A16,Normalisation!$A$5:$A$25,0))),INDEX(Normalisation!$K$5:$K$25,MATCH($A16,Normalisation!$A$5:$A$25,0)),"")</f>
        <v/>
      </c>
      <c r="Z16" s="35" t="str">
        <f aca="false">IF(AND(ISNUMBER(X16),ISNUMBER(Y16)),Y16/(X16*365/1000000),"")</f>
        <v/>
      </c>
      <c r="AA16" s="38" t="str">
        <f aca="false">IF(ISNUMBER(Z16),Z16/$W$28,"")</f>
        <v/>
      </c>
    </row>
    <row r="17" customFormat="false" ht="15" hidden="false" customHeight="true" outlineLevel="0" collapsed="false">
      <c r="A17" s="18" t="s">
        <v>139</v>
      </c>
      <c r="B17" s="29" t="str">
        <f aca="false">INDEX(Normalisation!$B$5:$B$25,MATCH($A17,Normalisation!$A$5:$A$25,0))</f>
        <v>Large (&gt;100k)</v>
      </c>
      <c r="C17" s="34" t="n">
        <f aca="false">IFERROR(IF(ISNUMBER(INDEX(Raw_Data!$K$5:$K$46,MATCH($A17&amp;"|"&amp;$C$3,Raw_Data!$A$5:$A$46,0))),INDEX(Raw_Data!$K$5:$K$46,MATCH($A17&amp;"|"&amp;$C$3,Raw_Data!$A$5:$A$46,0)),"n/a"),"n/a")</f>
        <v>181000</v>
      </c>
      <c r="D17" s="31" t="n">
        <f aca="false">IF(ISNUMBER(C17),C17*365/1000000,"n/a")</f>
        <v>66.065</v>
      </c>
      <c r="E17" s="30" t="n">
        <f aca="false">IFERROR(IF(ISNUMBER(INDEX(Normalisation!$D$38:$D$79,MATCH($A17&amp;"|"&amp;$C$3,Normalisation!$A$38:$A$79,0))),INDEX(Normalisation!$D$38:$D$79,MATCH($A17&amp;"|"&amp;$C$3,Normalisation!$A$38:$A$79,0)),"n/a"),"n/a")</f>
        <v>162</v>
      </c>
      <c r="F17" s="30" t="n">
        <f aca="false">IFERROR(IF(ISNUMBER(INDEX(Normalisation!$G$38:$G$79,MATCH($A17&amp;"|"&amp;$C$3,Normalisation!$A$38:$A$79,0))),INDEX(Normalisation!$G$38:$G$79,MATCH($A17&amp;"|"&amp;$C$3,Normalisation!$A$38:$A$79,0)),"n/a"),"n/a")</f>
        <v>96.5</v>
      </c>
      <c r="G17" s="35" t="n">
        <f aca="false">IF(AND(ISNUMBER(E17),ISNUMBER(D17)),E17/D17,"n/a")</f>
        <v>2.45213047755998</v>
      </c>
      <c r="H17" s="35" t="n">
        <f aca="false">IF(AND(ISNUMBER(F17),ISNUMBER(D17)),F17/D17,"n/a")</f>
        <v>1.46068266101567</v>
      </c>
      <c r="I17" s="36" t="n">
        <f aca="false">IF(AND(ISNUMBER(F17),ISNUMBER(C17)),F17/(C17/1000),"n/a")</f>
        <v>0.533149171270718</v>
      </c>
      <c r="J17" s="37" t="n">
        <f aca="false">IFERROR(IF(AND(ISNUMBER(F17),INDEX(Raw_Data!$M$5:$M$46,MATCH($A17&amp;"|"&amp;$C$3,Raw_Data!$A$5:$A$46,0))&gt;0),F17/INDEX(Raw_Data!$M$5:$M$46,MATCH($A17&amp;"|"&amp;$C$3,Raw_Data!$A$5:$A$46,0)),"n/a"),"n/a")</f>
        <v>0.0598820974247595</v>
      </c>
      <c r="K17" s="37" t="n">
        <f aca="false">IFERROR(IF(AND(ISNUMBER(F17),INDEX(Raw_Data!$N$5:$N$46,MATCH($A17&amp;"|"&amp;$C$3,Raw_Data!$A$5:$A$46,0))&gt;0),F17/INDEX(Raw_Data!$N$5:$N$46,MATCH($A17&amp;"|"&amp;$C$3,Raw_Data!$A$5:$A$46,0)),"n/a"),"n/a")</f>
        <v>0.100973108716124</v>
      </c>
      <c r="L17" s="37" t="n">
        <f aca="false">IFERROR(IF(AND(ISNUMBER(F17),INDEX(Raw_Data!$O$5:$O$46,MATCH($A17&amp;"|"&amp;$C$3,Raw_Data!$A$5:$A$46,0))&gt;0),F17/INDEX(Raw_Data!$O$5:$O$46,MATCH($A17&amp;"|"&amp;$C$3,Raw_Data!$A$5:$A$46,0)),"n/a"),"n/a")</f>
        <v>0.14366532678279</v>
      </c>
      <c r="M17" s="31" t="n">
        <f aca="false">IFERROR(IF(AND(ISNUMBER(F17),INDEX(Raw_Data!$R$5:$R$46,MATCH($A17&amp;"|"&amp;$C$3,Raw_Data!$A$5:$A$46,0))&gt;0),F17*1000/INDEX(Raw_Data!$R$5:$R$46,MATCH($A17&amp;"|"&amp;$C$3,Raw_Data!$A$5:$A$46,0)),"n/a"),"n/a")</f>
        <v>48.565676899849</v>
      </c>
      <c r="N17" s="37" t="n">
        <f aca="false">IFERROR(IF(AND(ISNUMBER(F17),ISNUMBER(INDEX(Normalisation!$G$38:$G$79,MATCH($A17&amp;"|"&amp;TEXT(VALUE($C$3)-1,"0"),Normalisation!$A$38:$A$79,0)))),F17/INDEX(Normalisation!$G$38:$G$79,MATCH($A17&amp;"|"&amp;TEXT(VALUE($C$3)-1,"0"),Normalisation!$A$38:$A$79,0))-1,"n/a"),"n/a")</f>
        <v>0.111751152073733</v>
      </c>
      <c r="O17" s="37" t="n">
        <f aca="false">IFERROR(IF(AND(ISNUMBER(C17),ISNUMBER(INDEX(Raw_Data!$K$5:$K$46,MATCH($A17&amp;"|"&amp;TEXT(VALUE($C$3)-1,"0"),Raw_Data!$A$5:$A$46,0)))),C17/INDEX(Raw_Data!$K$5:$K$46,MATCH($A17&amp;"|"&amp;TEXT(VALUE($C$3)-1,"0"),Raw_Data!$A$5:$A$46,0))-1,"n/a"),"n/a")</f>
        <v>0.372945638432364</v>
      </c>
      <c r="P17" s="37" t="n">
        <f aca="false">IF(AND(ISNUMBER(N17),ISNUMBER(O17)),N17-O17,"n/a")</f>
        <v>-0.261194486358631</v>
      </c>
      <c r="Q17" s="18" t="n">
        <f aca="false">IF(ISNUMBER(W17),RANK(W17,$W$6:$W$26,0),"")</f>
        <v>15</v>
      </c>
      <c r="R17" s="38" t="n">
        <f aca="false">IF(ISNUMBER(W17),W17/$W$28,"n/a")</f>
        <v>0.515738116208931</v>
      </c>
      <c r="S17" s="18" t="str">
        <f aca="false">IF(V17="N","Excluded — see notes",IF(NOT(ISNUMBER(R17)),"Data gap",IF(R17&gt;=$H$3,"Outlier — investigate",IF(R17&lt;=1/$H$3,"Lean overhead","Within range"))))</f>
        <v>Lean overhead</v>
      </c>
      <c r="T17" s="29" t="str">
        <f aca="false">IFERROR(INDEX(Normalisation!$J$38:$J$79,MATCH($A17&amp;"|"&amp;$C$3,Normalisation!$A$38:$A$79,0)),"No row for year")</f>
        <v>IFRS line</v>
      </c>
      <c r="U17" s="35" t="str">
        <f aca="false">IFERROR(IF(AND(ISNUMBER(INDEX(Normalisation!$H$38:$H$79,MATCH($A17&amp;"|"&amp;$C$3,Normalisation!$A$38:$A$79,0))),ISNUMBER(D17)),INDEX(Normalisation!$H$38:$H$79,MATCH($A17&amp;"|"&amp;$C$3,Normalisation!$A$38:$A$79,0))/D17,"n/a"),"n/a")</f>
        <v>n/a</v>
      </c>
      <c r="V17" s="29" t="str">
        <f aca="false">INDEX(Normalisation!$M$5:$M$25,MATCH($A17,Normalisation!$A$5:$A$25,0))</f>
        <v>Y</v>
      </c>
      <c r="W17" s="35" t="n">
        <f aca="false">IF(AND(V17="Y",ISNUMBER(H17)),H17,"")</f>
        <v>1.46068266101567</v>
      </c>
      <c r="X17" s="39" t="str">
        <f aca="false">IF(ISNUMBER(INDEX(Normalisation!$J$5:$J$25,MATCH($A17,Normalisation!$A$5:$A$25,0))),INDEX(Normalisation!$J$5:$J$25,MATCH($A17,Normalisation!$A$5:$A$25,0)),"")</f>
        <v/>
      </c>
      <c r="Y17" s="31" t="str">
        <f aca="false">IF(ISNUMBER(INDEX(Normalisation!$K$5:$K$25,MATCH($A17,Normalisation!$A$5:$A$25,0))),INDEX(Normalisation!$K$5:$K$25,MATCH($A17,Normalisation!$A$5:$A$25,0)),"")</f>
        <v/>
      </c>
      <c r="Z17" s="35" t="str">
        <f aca="false">IF(AND(ISNUMBER(X17),ISNUMBER(Y17)),Y17/(X17*365/1000000),"")</f>
        <v/>
      </c>
      <c r="AA17" s="38" t="str">
        <f aca="false">IF(ISNUMBER(Z17),Z17/$W$28,"")</f>
        <v/>
      </c>
    </row>
    <row r="18" customFormat="false" ht="15" hidden="false" customHeight="true" outlineLevel="0" collapsed="false">
      <c r="A18" s="18" t="s">
        <v>147</v>
      </c>
      <c r="B18" s="29" t="str">
        <f aca="false">INDEX(Normalisation!$B$5:$B$25,MATCH($A18,Normalisation!$A$5:$A$25,0))</f>
        <v>Large (&gt;100k)</v>
      </c>
      <c r="C18" s="34" t="n">
        <f aca="false">IFERROR(IF(ISNUMBER(INDEX(Raw_Data!$K$5:$K$46,MATCH($A18&amp;"|"&amp;$C$3,Raw_Data!$A$5:$A$46,0))),INDEX(Raw_Data!$K$5:$K$46,MATCH($A18&amp;"|"&amp;$C$3,Raw_Data!$A$5:$A$46,0)),"n/a"),"n/a")</f>
        <v>131506</v>
      </c>
      <c r="D18" s="31" t="n">
        <f aca="false">IF(ISNUMBER(C18),C18*365/1000000,"n/a")</f>
        <v>47.99969</v>
      </c>
      <c r="E18" s="30" t="n">
        <f aca="false">IFERROR(IF(ISNUMBER(INDEX(Normalisation!$D$38:$D$79,MATCH($A18&amp;"|"&amp;$C$3,Normalisation!$A$38:$A$79,0))),INDEX(Normalisation!$D$38:$D$79,MATCH($A18&amp;"|"&amp;$C$3,Normalisation!$A$38:$A$79,0)),"n/a"),"n/a")</f>
        <v>249.5</v>
      </c>
      <c r="F18" s="30" t="n">
        <f aca="false">IFERROR(IF(ISNUMBER(INDEX(Normalisation!$G$38:$G$79,MATCH($A18&amp;"|"&amp;$C$3,Normalisation!$A$38:$A$79,0))),INDEX(Normalisation!$G$38:$G$79,MATCH($A18&amp;"|"&amp;$C$3,Normalisation!$A$38:$A$79,0)),"n/a"),"n/a")</f>
        <v>249.5</v>
      </c>
      <c r="G18" s="35" t="n">
        <f aca="false">IF(AND(ISNUMBER(E18),ISNUMBER(D18)),E18/D18,"n/a")</f>
        <v>5.19795023676195</v>
      </c>
      <c r="H18" s="35" t="n">
        <f aca="false">IF(AND(ISNUMBER(F18),ISNUMBER(D18)),F18/D18,"n/a")</f>
        <v>5.19795023676195</v>
      </c>
      <c r="I18" s="36" t="n">
        <f aca="false">IF(AND(ISNUMBER(F18),ISNUMBER(C18)),F18/(C18/1000),"n/a")</f>
        <v>1.89725183641811</v>
      </c>
      <c r="J18" s="37" t="n">
        <f aca="false">IFERROR(IF(AND(ISNUMBER(F18),INDEX(Raw_Data!$M$5:$M$46,MATCH($A18&amp;"|"&amp;$C$3,Raw_Data!$A$5:$A$46,0))&gt;0),F18/INDEX(Raw_Data!$M$5:$M$46,MATCH($A18&amp;"|"&amp;$C$3,Raw_Data!$A$5:$A$46,0)),"n/a"),"n/a")</f>
        <v>0.0915294031329102</v>
      </c>
      <c r="K18" s="37" t="n">
        <f aca="false">IFERROR(IF(AND(ISNUMBER(F18),INDEX(Raw_Data!$N$5:$N$46,MATCH($A18&amp;"|"&amp;$C$3,Raw_Data!$A$5:$A$46,0))&gt;0),F18/INDEX(Raw_Data!$N$5:$N$46,MATCH($A18&amp;"|"&amp;$C$3,Raw_Data!$A$5:$A$46,0)),"n/a"),"n/a")</f>
        <v>0.195624901991532</v>
      </c>
      <c r="L18" s="37" t="n">
        <f aca="false">IFERROR(IF(AND(ISNUMBER(F18),INDEX(Raw_Data!$O$5:$O$46,MATCH($A18&amp;"|"&amp;$C$3,Raw_Data!$A$5:$A$46,0))&gt;0),F18/INDEX(Raw_Data!$O$5:$O$46,MATCH($A18&amp;"|"&amp;$C$3,Raw_Data!$A$5:$A$46,0)),"n/a"),"n/a")</f>
        <v>0.214052848318463</v>
      </c>
      <c r="M18" s="31" t="n">
        <f aca="false">IFERROR(IF(AND(ISNUMBER(F18),INDEX(Raw_Data!$R$5:$R$46,MATCH($A18&amp;"|"&amp;$C$3,Raw_Data!$A$5:$A$46,0))&gt;0),F18*1000/INDEX(Raw_Data!$R$5:$R$46,MATCH($A18&amp;"|"&amp;$C$3,Raw_Data!$A$5:$A$46,0)),"n/a"),"n/a")</f>
        <v>165.670650730412</v>
      </c>
      <c r="N18" s="37" t="n">
        <f aca="false">IFERROR(IF(AND(ISNUMBER(F18),ISNUMBER(INDEX(Normalisation!$G$38:$G$79,MATCH($A18&amp;"|"&amp;TEXT(VALUE($C$3)-1,"0"),Normalisation!$A$38:$A$79,0)))),F18/INDEX(Normalisation!$G$38:$G$79,MATCH($A18&amp;"|"&amp;TEXT(VALUE($C$3)-1,"0"),Normalisation!$A$38:$A$79,0))-1,"n/a"),"n/a")</f>
        <v>0.977020602218701</v>
      </c>
      <c r="O18" s="37" t="n">
        <f aca="false">IFERROR(IF(AND(ISNUMBER(C18),ISNUMBER(INDEX(Raw_Data!$K$5:$K$46,MATCH($A18&amp;"|"&amp;TEXT(VALUE($C$3)-1,"0"),Raw_Data!$A$5:$A$46,0)))),C18/INDEX(Raw_Data!$K$5:$K$46,MATCH($A18&amp;"|"&amp;TEXT(VALUE($C$3)-1,"0"),Raw_Data!$A$5:$A$46,0))-1,"n/a"),"n/a")</f>
        <v>1.4837290120309</v>
      </c>
      <c r="P18" s="37" t="n">
        <f aca="false">IF(AND(ISNUMBER(N18),ISNUMBER(O18)),N18-O18,"n/a")</f>
        <v>-0.506708409812198</v>
      </c>
      <c r="Q18" s="18" t="n">
        <f aca="false">IF(ISNUMBER(W18),RANK(W18,$W$6:$W$26,0),"")</f>
        <v>5</v>
      </c>
      <c r="R18" s="38" t="n">
        <f aca="false">IF(ISNUMBER(W18),W18/$W$28,"n/a")</f>
        <v>1.83529327403074</v>
      </c>
      <c r="S18" s="18" t="str">
        <f aca="false">IF(V18="N","Excluded — see notes",IF(NOT(ISNUMBER(R18)),"Data gap",IF(R18&gt;=$H$3,"Outlier — investigate",IF(R18&lt;=1/$H$3,"Lean overhead","Within range"))))</f>
        <v>Outlier — investigate</v>
      </c>
      <c r="T18" s="29" t="str">
        <f aca="false">IFERROR(INDEX(Normalisation!$J$38:$J$79,MATCH($A18&amp;"|"&amp;$C$3,Normalisation!$A$38:$A$79,0)),"No row for year")</f>
        <v>IFRS line</v>
      </c>
      <c r="U18" s="35" t="str">
        <f aca="false">IFERROR(IF(AND(ISNUMBER(INDEX(Normalisation!$H$38:$H$79,MATCH($A18&amp;"|"&amp;$C$3,Normalisation!$A$38:$A$79,0))),ISNUMBER(D18)),INDEX(Normalisation!$H$38:$H$79,MATCH($A18&amp;"|"&amp;$C$3,Normalisation!$A$38:$A$79,0))/D18,"n/a"),"n/a")</f>
        <v>n/a</v>
      </c>
      <c r="V18" s="29" t="str">
        <f aca="false">INDEX(Normalisation!$M$5:$M$25,MATCH($A18,Normalisation!$A$5:$A$25,0))</f>
        <v>Y</v>
      </c>
      <c r="W18" s="35" t="n">
        <f aca="false">IF(AND(V18="Y",ISNUMBER(H18)),H18,"")</f>
        <v>5.19795023676195</v>
      </c>
      <c r="X18" s="39" t="str">
        <f aca="false">IF(ISNUMBER(INDEX(Normalisation!$J$5:$J$25,MATCH($A18,Normalisation!$A$5:$A$25,0))),INDEX(Normalisation!$J$5:$J$25,MATCH($A18,Normalisation!$A$5:$A$25,0)),"")</f>
        <v/>
      </c>
      <c r="Y18" s="31" t="str">
        <f aca="false">IF(ISNUMBER(INDEX(Normalisation!$K$5:$K$25,MATCH($A18,Normalisation!$A$5:$A$25,0))),INDEX(Normalisation!$K$5:$K$25,MATCH($A18,Normalisation!$A$5:$A$25,0)),"")</f>
        <v/>
      </c>
      <c r="Z18" s="35" t="str">
        <f aca="false">IF(AND(ISNUMBER(X18),ISNUMBER(Y18)),Y18/(X18*365/1000000),"")</f>
        <v/>
      </c>
      <c r="AA18" s="38" t="str">
        <f aca="false">IF(ISNUMBER(Z18),Z18/$W$28,"")</f>
        <v/>
      </c>
    </row>
    <row r="19" customFormat="false" ht="15" hidden="false" customHeight="true" outlineLevel="0" collapsed="false">
      <c r="A19" s="18" t="s">
        <v>157</v>
      </c>
      <c r="B19" s="29" t="str">
        <f aca="false">INDEX(Normalisation!$B$5:$B$25,MATCH($A19,Normalisation!$A$5:$A$25,0))</f>
        <v>Small (&lt;20k)</v>
      </c>
      <c r="C19" s="34" t="n">
        <f aca="false">IFERROR(IF(ISNUMBER(INDEX(Raw_Data!$K$5:$K$46,MATCH($A19&amp;"|"&amp;$C$3,Raw_Data!$A$5:$A$46,0))),INDEX(Raw_Data!$K$5:$K$46,MATCH($A19&amp;"|"&amp;$C$3,Raw_Data!$A$5:$A$46,0)),"n/a"),"n/a")</f>
        <v>17520</v>
      </c>
      <c r="D19" s="31" t="n">
        <f aca="false">IF(ISNUMBER(C19),C19*365/1000000,"n/a")</f>
        <v>6.3948</v>
      </c>
      <c r="E19" s="30" t="n">
        <f aca="false">IFERROR(IF(ISNUMBER(INDEX(Normalisation!$D$38:$D$79,MATCH($A19&amp;"|"&amp;$C$3,Normalisation!$A$38:$A$79,0))),INDEX(Normalisation!$D$38:$D$79,MATCH($A19&amp;"|"&amp;$C$3,Normalisation!$A$38:$A$79,0)),"n/a"),"n/a")</f>
        <v>18.9</v>
      </c>
      <c r="F19" s="30" t="n">
        <f aca="false">IFERROR(IF(ISNUMBER(INDEX(Normalisation!$G$38:$G$79,MATCH($A19&amp;"|"&amp;$C$3,Normalisation!$A$38:$A$79,0))),INDEX(Normalisation!$G$38:$G$79,MATCH($A19&amp;"|"&amp;$C$3,Normalisation!$A$38:$A$79,0)),"n/a"),"n/a")</f>
        <v>17</v>
      </c>
      <c r="G19" s="35" t="n">
        <f aca="false">IF(AND(ISNUMBER(E19),ISNUMBER(D19)),E19/D19,"n/a")</f>
        <v>2.9555263651717</v>
      </c>
      <c r="H19" s="35" t="n">
        <f aca="false">IF(AND(ISNUMBER(F19),ISNUMBER(D19)),F19/D19,"n/a")</f>
        <v>2.65840995809095</v>
      </c>
      <c r="I19" s="36" t="n">
        <f aca="false">IF(AND(ISNUMBER(F19),ISNUMBER(C19)),F19/(C19/1000),"n/a")</f>
        <v>0.970319634703196</v>
      </c>
      <c r="J19" s="37" t="n">
        <f aca="false">IFERROR(IF(AND(ISNUMBER(F19),INDEX(Raw_Data!$M$5:$M$46,MATCH($A19&amp;"|"&amp;$C$3,Raw_Data!$A$5:$A$46,0))&gt;0),F19/INDEX(Raw_Data!$M$5:$M$46,MATCH($A19&amp;"|"&amp;$C$3,Raw_Data!$A$5:$A$46,0)),"n/a"),"n/a")</f>
        <v>0.24745269286754</v>
      </c>
      <c r="K19" s="37" t="n">
        <f aca="false">IFERROR(IF(AND(ISNUMBER(F19),INDEX(Raw_Data!$N$5:$N$46,MATCH($A19&amp;"|"&amp;$C$3,Raw_Data!$A$5:$A$46,0))&gt;0),F19/INDEX(Raw_Data!$N$5:$N$46,MATCH($A19&amp;"|"&amp;$C$3,Raw_Data!$A$5:$A$46,0)),"n/a"),"n/a")</f>
        <v>0.392609699769053</v>
      </c>
      <c r="L19" s="37" t="n">
        <f aca="false">IFERROR(IF(AND(ISNUMBER(F19),INDEX(Raw_Data!$O$5:$O$46,MATCH($A19&amp;"|"&amp;$C$3,Raw_Data!$A$5:$A$46,0))&gt;0),F19/INDEX(Raw_Data!$O$5:$O$46,MATCH($A19&amp;"|"&amp;$C$3,Raw_Data!$A$5:$A$46,0)),"n/a"),"n/a")</f>
        <v>0.46831955922865</v>
      </c>
      <c r="M19" s="31" t="n">
        <f aca="false">IFERROR(IF(AND(ISNUMBER(F19),INDEX(Raw_Data!$R$5:$R$46,MATCH($A19&amp;"|"&amp;$C$3,Raw_Data!$A$5:$A$46,0))&gt;0),F19*1000/INDEX(Raw_Data!$R$5:$R$46,MATCH($A19&amp;"|"&amp;$C$3,Raw_Data!$A$5:$A$46,0)),"n/a"),"n/a")</f>
        <v>226.666666666667</v>
      </c>
      <c r="N19" s="37" t="n">
        <f aca="false">IFERROR(IF(AND(ISNUMBER(F19),ISNUMBER(INDEX(Normalisation!$G$38:$G$79,MATCH($A19&amp;"|"&amp;TEXT(VALUE($C$3)-1,"0"),Normalisation!$A$38:$A$79,0)))),F19/INDEX(Normalisation!$G$38:$G$79,MATCH($A19&amp;"|"&amp;TEXT(VALUE($C$3)-1,"0"),Normalisation!$A$38:$A$79,0))-1,"n/a"),"n/a")</f>
        <v>-0.227272727272727</v>
      </c>
      <c r="O19" s="37" t="n">
        <f aca="false">IFERROR(IF(AND(ISNUMBER(C19),ISNUMBER(INDEX(Raw_Data!$K$5:$K$46,MATCH($A19&amp;"|"&amp;TEXT(VALUE($C$3)-1,"0"),Raw_Data!$A$5:$A$46,0)))),C19/INDEX(Raw_Data!$K$5:$K$46,MATCH($A19&amp;"|"&amp;TEXT(VALUE($C$3)-1,"0"),Raw_Data!$A$5:$A$46,0))-1,"n/a"),"n/a")</f>
        <v>-0.108396946564886</v>
      </c>
      <c r="P19" s="37" t="n">
        <f aca="false">IF(AND(ISNUMBER(N19),ISNUMBER(O19)),N19-O19,"n/a")</f>
        <v>-0.118875780707842</v>
      </c>
      <c r="Q19" s="18" t="n">
        <f aca="false">IF(ISNUMBER(W19),RANK(W19,$W$6:$W$26,0),"")</f>
        <v>11</v>
      </c>
      <c r="R19" s="38" t="n">
        <f aca="false">IF(ISNUMBER(W19),W19/$W$28,"n/a")</f>
        <v>0.93863190170516</v>
      </c>
      <c r="S19" s="18" t="str">
        <f aca="false">IF(V19="N","Excluded — see notes",IF(NOT(ISNUMBER(R19)),"Data gap",IF(R19&gt;=$H$3,"Outlier — investigate",IF(R19&lt;=1/$H$3,"Lean overhead","Within range"))))</f>
        <v>Within range</v>
      </c>
      <c r="T19" s="29" t="str">
        <f aca="false">IFERROR(INDEX(Normalisation!$J$38:$J$79,MATCH($A19&amp;"|"&amp;$C$3,Normalisation!$A$38:$A$79,0)),"No row for year")</f>
        <v>IFRS line</v>
      </c>
      <c r="U19" s="35" t="str">
        <f aca="false">IFERROR(IF(AND(ISNUMBER(INDEX(Normalisation!$H$38:$H$79,MATCH($A19&amp;"|"&amp;$C$3,Normalisation!$A$38:$A$79,0))),ISNUMBER(D19)),INDEX(Normalisation!$H$38:$H$79,MATCH($A19&amp;"|"&amp;$C$3,Normalisation!$A$38:$A$79,0))/D19,"n/a"),"n/a")</f>
        <v>n/a</v>
      </c>
      <c r="V19" s="29" t="str">
        <f aca="false">INDEX(Normalisation!$M$5:$M$25,MATCH($A19,Normalisation!$A$5:$A$25,0))</f>
        <v>Y</v>
      </c>
      <c r="W19" s="35" t="n">
        <f aca="false">IF(AND(V19="Y",ISNUMBER(H19)),H19,"")</f>
        <v>2.65840995809095</v>
      </c>
      <c r="X19" s="39" t="n">
        <f aca="false">IF(ISNUMBER(INDEX(Normalisation!$J$5:$J$25,MATCH($A19,Normalisation!$A$5:$A$25,0))),INDEX(Normalisation!$J$5:$J$25,MATCH($A19,Normalisation!$A$5:$A$25,0)),"")</f>
        <v>37544</v>
      </c>
      <c r="Y19" s="31" t="n">
        <f aca="false">IF(ISNUMBER(INDEX(Normalisation!$K$5:$K$25,MATCH($A19,Normalisation!$A$5:$A$25,0))),INDEX(Normalisation!$K$5:$K$25,MATCH($A19,Normalisation!$A$5:$A$25,0)),"")</f>
        <v>43.8</v>
      </c>
      <c r="Z19" s="35" t="n">
        <f aca="false">IF(AND(ISNUMBER(X19),ISNUMBER(Y19)),Y19/(X19*365/1000000),"")</f>
        <v>3.19624973364586</v>
      </c>
      <c r="AA19" s="38" t="n">
        <f aca="false">IF(ISNUMBER(Z19),Z19/$W$28,"")</f>
        <v>1.12853247358848</v>
      </c>
    </row>
    <row r="20" customFormat="false" ht="15" hidden="false" customHeight="true" outlineLevel="0" collapsed="false">
      <c r="A20" s="18" t="s">
        <v>165</v>
      </c>
      <c r="B20" s="29" t="str">
        <f aca="false">INDEX(Normalisation!$B$5:$B$25,MATCH($A20,Normalisation!$A$5:$A$25,0))</f>
        <v>Mid (20-100k)</v>
      </c>
      <c r="C20" s="34" t="n">
        <f aca="false">IFERROR(IF(ISNUMBER(INDEX(Raw_Data!$K$5:$K$46,MATCH($A20&amp;"|"&amp;$C$3,Raw_Data!$A$5:$A$46,0))),INDEX(Raw_Data!$K$5:$K$46,MATCH($A20&amp;"|"&amp;$C$3,Raw_Data!$A$5:$A$46,0)),"n/a"),"n/a")</f>
        <v>20024</v>
      </c>
      <c r="D20" s="31" t="n">
        <f aca="false">IF(ISNUMBER(C20),C20*365/1000000,"n/a")</f>
        <v>7.30876</v>
      </c>
      <c r="E20" s="30" t="n">
        <f aca="false">IFERROR(IF(ISNUMBER(INDEX(Normalisation!$D$38:$D$79,MATCH($A20&amp;"|"&amp;$C$3,Normalisation!$A$38:$A$79,0))),INDEX(Normalisation!$D$38:$D$79,MATCH($A20&amp;"|"&amp;$C$3,Normalisation!$A$38:$A$79,0)),"n/a"),"n/a")</f>
        <v>24.9</v>
      </c>
      <c r="F20" s="30" t="n">
        <f aca="false">IFERROR(IF(ISNUMBER(INDEX(Normalisation!$G$38:$G$79,MATCH($A20&amp;"|"&amp;$C$3,Normalisation!$A$38:$A$79,0))),INDEX(Normalisation!$G$38:$G$79,MATCH($A20&amp;"|"&amp;$C$3,Normalisation!$A$38:$A$79,0)),"n/a"),"n/a")</f>
        <v>20.7</v>
      </c>
      <c r="G20" s="35" t="n">
        <f aca="false">IF(AND(ISNUMBER(E20),ISNUMBER(D20)),E20/D20,"n/a")</f>
        <v>3.40687065931841</v>
      </c>
      <c r="H20" s="35" t="n">
        <f aca="false">IF(AND(ISNUMBER(F20),ISNUMBER(D20)),F20/D20,"n/a")</f>
        <v>2.83221777702374</v>
      </c>
      <c r="I20" s="36" t="n">
        <f aca="false">IF(AND(ISNUMBER(F20),ISNUMBER(C20)),F20/(C20/1000),"n/a")</f>
        <v>1.03375948861366</v>
      </c>
      <c r="J20" s="37" t="n">
        <f aca="false">IFERROR(IF(AND(ISNUMBER(F20),INDEX(Raw_Data!$M$5:$M$46,MATCH($A20&amp;"|"&amp;$C$3,Raw_Data!$A$5:$A$46,0))&gt;0),F20/INDEX(Raw_Data!$M$5:$M$46,MATCH($A20&amp;"|"&amp;$C$3,Raw_Data!$A$5:$A$46,0)),"n/a"),"n/a")</f>
        <v>0.15344699777613</v>
      </c>
      <c r="K20" s="37" t="str">
        <f aca="false">IFERROR(IF(AND(ISNUMBER(F20),INDEX(Raw_Data!$N$5:$N$46,MATCH($A20&amp;"|"&amp;$C$3,Raw_Data!$A$5:$A$46,0))&gt;0),F20/INDEX(Raw_Data!$N$5:$N$46,MATCH($A20&amp;"|"&amp;$C$3,Raw_Data!$A$5:$A$46,0)),"n/a"),"n/a")</f>
        <v>n/a</v>
      </c>
      <c r="L20" s="37" t="n">
        <f aca="false">IFERROR(IF(AND(ISNUMBER(F20),INDEX(Raw_Data!$O$5:$O$46,MATCH($A20&amp;"|"&amp;$C$3,Raw_Data!$A$5:$A$46,0))&gt;0),F20/INDEX(Raw_Data!$O$5:$O$46,MATCH($A20&amp;"|"&amp;$C$3,Raw_Data!$A$5:$A$46,0)),"n/a"),"n/a")</f>
        <v>0.138092061374249</v>
      </c>
      <c r="M20" s="31" t="n">
        <f aca="false">IFERROR(IF(AND(ISNUMBER(F20),INDEX(Raw_Data!$R$5:$R$46,MATCH($A20&amp;"|"&amp;$C$3,Raw_Data!$A$5:$A$46,0))&gt;0),F20*1000/INDEX(Raw_Data!$R$5:$R$46,MATCH($A20&amp;"|"&amp;$C$3,Raw_Data!$A$5:$A$46,0)),"n/a"),"n/a")</f>
        <v>504.878048780488</v>
      </c>
      <c r="N20" s="37" t="n">
        <f aca="false">IFERROR(IF(AND(ISNUMBER(F20),ISNUMBER(INDEX(Normalisation!$G$38:$G$79,MATCH($A20&amp;"|"&amp;TEXT(VALUE($C$3)-1,"0"),Normalisation!$A$38:$A$79,0)))),F20/INDEX(Normalisation!$G$38:$G$79,MATCH($A20&amp;"|"&amp;TEXT(VALUE($C$3)-1,"0"),Normalisation!$A$38:$A$79,0))-1,"n/a"),"n/a")</f>
        <v>0.0349999999999999</v>
      </c>
      <c r="O20" s="37" t="n">
        <f aca="false">IFERROR(IF(AND(ISNUMBER(C20),ISNUMBER(INDEX(Raw_Data!$K$5:$K$46,MATCH($A20&amp;"|"&amp;TEXT(VALUE($C$3)-1,"0"),Raw_Data!$A$5:$A$46,0)))),C20/INDEX(Raw_Data!$K$5:$K$46,MATCH($A20&amp;"|"&amp;TEXT(VALUE($C$3)-1,"0"),Raw_Data!$A$5:$A$46,0))-1,"n/a"),"n/a")</f>
        <v>-0.157345453015192</v>
      </c>
      <c r="P20" s="37" t="n">
        <f aca="false">IF(AND(ISNUMBER(N20),ISNUMBER(O20)),N20-O20,"n/a")</f>
        <v>0.192345453015192</v>
      </c>
      <c r="Q20" s="18" t="n">
        <f aca="false">IF(ISNUMBER(W20),RANK(W20,$W$6:$W$26,0),"")</f>
        <v>10</v>
      </c>
      <c r="R20" s="38" t="n">
        <f aca="false">IF(ISNUMBER(W20),W20/$W$28,"n/a")</f>
        <v>1</v>
      </c>
      <c r="S20" s="18" t="str">
        <f aca="false">IF(V20="N","Excluded — see notes",IF(NOT(ISNUMBER(R20)),"Data gap",IF(R20&gt;=$H$3,"Outlier — investigate",IF(R20&lt;=1/$H$3,"Lean overhead","Within range"))))</f>
        <v>Within range</v>
      </c>
      <c r="T20" s="29" t="str">
        <f aca="false">IFERROR(INDEX(Normalisation!$J$38:$J$79,MATCH($A20&amp;"|"&amp;$C$3,Normalisation!$A$38:$A$79,0)),"No row for year")</f>
        <v>IFRS line</v>
      </c>
      <c r="U20" s="35" t="str">
        <f aca="false">IFERROR(IF(AND(ISNUMBER(INDEX(Normalisation!$H$38:$H$79,MATCH($A20&amp;"|"&amp;$C$3,Normalisation!$A$38:$A$79,0))),ISNUMBER(D20)),INDEX(Normalisation!$H$38:$H$79,MATCH($A20&amp;"|"&amp;$C$3,Normalisation!$A$38:$A$79,0))/D20,"n/a"),"n/a")</f>
        <v>n/a</v>
      </c>
      <c r="V20" s="29" t="str">
        <f aca="false">INDEX(Normalisation!$M$5:$M$25,MATCH($A20,Normalisation!$A$5:$A$25,0))</f>
        <v>Y</v>
      </c>
      <c r="W20" s="35" t="n">
        <f aca="false">IF(AND(V20="Y",ISNUMBER(H20)),H20,"")</f>
        <v>2.83221777702374</v>
      </c>
      <c r="X20" s="39" t="str">
        <f aca="false">IF(ISNUMBER(INDEX(Normalisation!$J$5:$J$25,MATCH($A20,Normalisation!$A$5:$A$25,0))),INDEX(Normalisation!$J$5:$J$25,MATCH($A20,Normalisation!$A$5:$A$25,0)),"")</f>
        <v/>
      </c>
      <c r="Y20" s="31" t="str">
        <f aca="false">IF(ISNUMBER(INDEX(Normalisation!$K$5:$K$25,MATCH($A20,Normalisation!$A$5:$A$25,0))),INDEX(Normalisation!$K$5:$K$25,MATCH($A20,Normalisation!$A$5:$A$25,0)),"")</f>
        <v/>
      </c>
      <c r="Z20" s="35" t="str">
        <f aca="false">IF(AND(ISNUMBER(X20),ISNUMBER(Y20)),Y20/(X20*365/1000000),"")</f>
        <v/>
      </c>
      <c r="AA20" s="38" t="str">
        <f aca="false">IF(ISNUMBER(Z20),Z20/$W$28,"")</f>
        <v/>
      </c>
    </row>
    <row r="21" customFormat="false" ht="15" hidden="false" customHeight="true" outlineLevel="0" collapsed="false">
      <c r="A21" s="18" t="s">
        <v>173</v>
      </c>
      <c r="B21" s="29" t="str">
        <f aca="false">INDEX(Normalisation!$B$5:$B$25,MATCH($A21,Normalisation!$A$5:$A$25,0))</f>
        <v>Small (&lt;20k)</v>
      </c>
      <c r="C21" s="34" t="n">
        <f aca="false">IFERROR(IF(ISNUMBER(INDEX(Raw_Data!$K$5:$K$46,MATCH($A21&amp;"|"&amp;$C$3,Raw_Data!$A$5:$A$46,0))),INDEX(Raw_Data!$K$5:$K$46,MATCH($A21&amp;"|"&amp;$C$3,Raw_Data!$A$5:$A$46,0)),"n/a"),"n/a")</f>
        <v>6324</v>
      </c>
      <c r="D21" s="31" t="n">
        <f aca="false">IF(ISNUMBER(C21),C21*365/1000000,"n/a")</f>
        <v>2.30826</v>
      </c>
      <c r="E21" s="30" t="n">
        <f aca="false">IFERROR(IF(ISNUMBER(INDEX(Normalisation!$D$38:$D$79,MATCH($A21&amp;"|"&amp;$C$3,Normalisation!$A$38:$A$79,0))),INDEX(Normalisation!$D$38:$D$79,MATCH($A21&amp;"|"&amp;$C$3,Normalisation!$A$38:$A$79,0)),"n/a"),"n/a")</f>
        <v>15.29</v>
      </c>
      <c r="F21" s="30" t="n">
        <f aca="false">IFERROR(IF(ISNUMBER(INDEX(Normalisation!$G$38:$G$79,MATCH($A21&amp;"|"&amp;$C$3,Normalisation!$A$38:$A$79,0))),INDEX(Normalisation!$G$38:$G$79,MATCH($A21&amp;"|"&amp;$C$3,Normalisation!$A$38:$A$79,0)),"n/a"),"n/a")</f>
        <v>11.86</v>
      </c>
      <c r="G21" s="35" t="n">
        <f aca="false">IF(AND(ISNUMBER(E21),ISNUMBER(D21)),E21/D21,"n/a")</f>
        <v>6.6240371535269</v>
      </c>
      <c r="H21" s="35" t="n">
        <f aca="false">IF(AND(ISNUMBER(F21),ISNUMBER(D21)),F21/D21,"n/a")</f>
        <v>5.13806936826874</v>
      </c>
      <c r="I21" s="36" t="n">
        <f aca="false">IF(AND(ISNUMBER(F21),ISNUMBER(C21)),F21/(C21/1000),"n/a")</f>
        <v>1.87539531941809</v>
      </c>
      <c r="J21" s="37" t="n">
        <f aca="false">IFERROR(IF(AND(ISNUMBER(F21),INDEX(Raw_Data!$M$5:$M$46,MATCH($A21&amp;"|"&amp;$C$3,Raw_Data!$A$5:$A$46,0))&gt;0),F21/INDEX(Raw_Data!$M$5:$M$46,MATCH($A21&amp;"|"&amp;$C$3,Raw_Data!$A$5:$A$46,0)),"n/a"),"n/a")</f>
        <v>0.103671328671329</v>
      </c>
      <c r="K21" s="37" t="n">
        <f aca="false">IFERROR(IF(AND(ISNUMBER(F21),INDEX(Raw_Data!$N$5:$N$46,MATCH($A21&amp;"|"&amp;$C$3,Raw_Data!$A$5:$A$46,0))&gt;0),F21/INDEX(Raw_Data!$N$5:$N$46,MATCH($A21&amp;"|"&amp;$C$3,Raw_Data!$A$5:$A$46,0)),"n/a"),"n/a")</f>
        <v>0.229400386847195</v>
      </c>
      <c r="L21" s="37" t="n">
        <f aca="false">IFERROR(IF(AND(ISNUMBER(F21),INDEX(Raw_Data!$O$5:$O$46,MATCH($A21&amp;"|"&amp;$C$3,Raw_Data!$A$5:$A$46,0))&gt;0),F21/INDEX(Raw_Data!$O$5:$O$46,MATCH($A21&amp;"|"&amp;$C$3,Raw_Data!$A$5:$A$46,0)),"n/a"),"n/a")</f>
        <v>0.400675675675676</v>
      </c>
      <c r="M21" s="31" t="n">
        <f aca="false">IFERROR(IF(AND(ISNUMBER(F21),INDEX(Raw_Data!$R$5:$R$46,MATCH($A21&amp;"|"&amp;$C$3,Raw_Data!$A$5:$A$46,0))&gt;0),F21*1000/INDEX(Raw_Data!$R$5:$R$46,MATCH($A21&amp;"|"&amp;$C$3,Raw_Data!$A$5:$A$46,0)),"n/a"),"n/a")</f>
        <v>539.090909090909</v>
      </c>
      <c r="N21" s="37" t="n">
        <f aca="false">IFERROR(IF(AND(ISNUMBER(F21),ISNUMBER(INDEX(Normalisation!$G$38:$G$79,MATCH($A21&amp;"|"&amp;TEXT(VALUE($C$3)-1,"0"),Normalisation!$A$38:$A$79,0)))),F21/INDEX(Normalisation!$G$38:$G$79,MATCH($A21&amp;"|"&amp;TEXT(VALUE($C$3)-1,"0"),Normalisation!$A$38:$A$79,0))-1,"n/a"),"n/a")</f>
        <v>0.255026455026455</v>
      </c>
      <c r="O21" s="37" t="n">
        <f aca="false">IFERROR(IF(AND(ISNUMBER(C21),ISNUMBER(INDEX(Raw_Data!$K$5:$K$46,MATCH($A21&amp;"|"&amp;TEXT(VALUE($C$3)-1,"0"),Raw_Data!$A$5:$A$46,0)))),C21/INDEX(Raw_Data!$K$5:$K$46,MATCH($A21&amp;"|"&amp;TEXT(VALUE($C$3)-1,"0"),Raw_Data!$A$5:$A$46,0))-1,"n/a"),"n/a")</f>
        <v>0.0152512441804462</v>
      </c>
      <c r="P21" s="37" t="n">
        <f aca="false">IF(AND(ISNUMBER(N21),ISNUMBER(O21)),N21-O21,"n/a")</f>
        <v>0.239775210846009</v>
      </c>
      <c r="Q21" s="18" t="n">
        <f aca="false">IF(ISNUMBER(W21),RANK(W21,$W$6:$W$26,0),"")</f>
        <v>6</v>
      </c>
      <c r="R21" s="38" t="n">
        <f aca="false">IF(ISNUMBER(W21),W21/$W$28,"n/a")</f>
        <v>1.81415052541197</v>
      </c>
      <c r="S21" s="18" t="str">
        <f aca="false">IF(V21="N","Excluded — see notes",IF(NOT(ISNUMBER(R21)),"Data gap",IF(R21&gt;=$H$3,"Outlier — investigate",IF(R21&lt;=1/$H$3,"Lean overhead","Within range"))))</f>
        <v>Outlier — investigate</v>
      </c>
      <c r="T21" s="29" t="str">
        <f aca="false">IFERROR(INDEX(Normalisation!$J$38:$J$79,MATCH($A21&amp;"|"&amp;$C$3,Normalisation!$A$38:$A$79,0)),"No row for year")</f>
        <v>IFRS line</v>
      </c>
      <c r="U21" s="35" t="str">
        <f aca="false">IFERROR(IF(AND(ISNUMBER(INDEX(Normalisation!$H$38:$H$79,MATCH($A21&amp;"|"&amp;$C$3,Normalisation!$A$38:$A$79,0))),ISNUMBER(D21)),INDEX(Normalisation!$H$38:$H$79,MATCH($A21&amp;"|"&amp;$C$3,Normalisation!$A$38:$A$79,0))/D21,"n/a"),"n/a")</f>
        <v>n/a</v>
      </c>
      <c r="V21" s="29" t="str">
        <f aca="false">INDEX(Normalisation!$M$5:$M$25,MATCH($A21,Normalisation!$A$5:$A$25,0))</f>
        <v>Y</v>
      </c>
      <c r="W21" s="35" t="n">
        <f aca="false">IF(AND(V21="Y",ISNUMBER(H21)),H21,"")</f>
        <v>5.13806936826874</v>
      </c>
      <c r="X21" s="39" t="str">
        <f aca="false">IF(ISNUMBER(INDEX(Normalisation!$J$5:$J$25,MATCH($A21,Normalisation!$A$5:$A$25,0))),INDEX(Normalisation!$J$5:$J$25,MATCH($A21,Normalisation!$A$5:$A$25,0)),"")</f>
        <v/>
      </c>
      <c r="Y21" s="31" t="str">
        <f aca="false">IF(ISNUMBER(INDEX(Normalisation!$K$5:$K$25,MATCH($A21,Normalisation!$A$5:$A$25,0))),INDEX(Normalisation!$K$5:$K$25,MATCH($A21,Normalisation!$A$5:$A$25,0)),"")</f>
        <v/>
      </c>
      <c r="Z21" s="35" t="str">
        <f aca="false">IF(AND(ISNUMBER(X21),ISNUMBER(Y21)),Y21/(X21*365/1000000),"")</f>
        <v/>
      </c>
      <c r="AA21" s="38" t="str">
        <f aca="false">IF(ISNUMBER(Z21),Z21/$W$28,"")</f>
        <v/>
      </c>
    </row>
    <row r="22" customFormat="false" ht="15" hidden="false" customHeight="true" outlineLevel="0" collapsed="false">
      <c r="A22" s="18" t="s">
        <v>182</v>
      </c>
      <c r="B22" s="29" t="str">
        <f aca="false">INDEX(Normalisation!$B$5:$B$25,MATCH($A22,Normalisation!$A$5:$A$25,0))</f>
        <v>Small (&lt;20k)</v>
      </c>
      <c r="C22" s="34" t="n">
        <f aca="false">IFERROR(IF(ISNUMBER(INDEX(Raw_Data!$K$5:$K$46,MATCH($A22&amp;"|"&amp;$C$3,Raw_Data!$A$5:$A$46,0))),INDEX(Raw_Data!$K$5:$K$46,MATCH($A22&amp;"|"&amp;$C$3,Raw_Data!$A$5:$A$46,0)),"n/a"),"n/a")</f>
        <v>4686</v>
      </c>
      <c r="D22" s="31" t="n">
        <f aca="false">IF(ISNUMBER(C22),C22*365/1000000,"n/a")</f>
        <v>1.71039</v>
      </c>
      <c r="E22" s="30" t="n">
        <f aca="false">IFERROR(IF(ISNUMBER(INDEX(Normalisation!$D$38:$D$79,MATCH($A22&amp;"|"&amp;$C$3,Normalisation!$A$38:$A$79,0))),INDEX(Normalisation!$D$38:$D$79,MATCH($A22&amp;"|"&amp;$C$3,Normalisation!$A$38:$A$79,0)),"n/a"),"n/a")</f>
        <v>9.82</v>
      </c>
      <c r="F22" s="30" t="n">
        <f aca="false">IFERROR(IF(ISNUMBER(INDEX(Normalisation!$G$38:$G$79,MATCH($A22&amp;"|"&amp;$C$3,Normalisation!$A$38:$A$79,0))),INDEX(Normalisation!$G$38:$G$79,MATCH($A22&amp;"|"&amp;$C$3,Normalisation!$A$38:$A$79,0)),"n/a"),"n/a")</f>
        <v>9.82</v>
      </c>
      <c r="G22" s="35" t="n">
        <f aca="false">IF(AND(ISNUMBER(E22),ISNUMBER(D22)),E22/D22,"n/a")</f>
        <v>5.74138062079409</v>
      </c>
      <c r="H22" s="35" t="n">
        <f aca="false">IF(AND(ISNUMBER(F22),ISNUMBER(D22)),F22/D22,"n/a")</f>
        <v>5.74138062079409</v>
      </c>
      <c r="I22" s="36" t="n">
        <f aca="false">IF(AND(ISNUMBER(F22),ISNUMBER(C22)),F22/(C22/1000),"n/a")</f>
        <v>2.09560392658984</v>
      </c>
      <c r="J22" s="37" t="n">
        <f aca="false">IFERROR(IF(AND(ISNUMBER(F22),INDEX(Raw_Data!$M$5:$M$46,MATCH($A22&amp;"|"&amp;$C$3,Raw_Data!$A$5:$A$46,0))&gt;0),F22/INDEX(Raw_Data!$M$5:$M$46,MATCH($A22&amp;"|"&amp;$C$3,Raw_Data!$A$5:$A$46,0)),"n/a"),"n/a")</f>
        <v>0.286297376093295</v>
      </c>
      <c r="K22" s="37" t="str">
        <f aca="false">IFERROR(IF(AND(ISNUMBER(F22),INDEX(Raw_Data!$N$5:$N$46,MATCH($A22&amp;"|"&amp;$C$3,Raw_Data!$A$5:$A$46,0))&gt;0),F22/INDEX(Raw_Data!$N$5:$N$46,MATCH($A22&amp;"|"&amp;$C$3,Raw_Data!$A$5:$A$46,0)),"n/a"),"n/a")</f>
        <v>n/a</v>
      </c>
      <c r="L22" s="37" t="n">
        <f aca="false">IFERROR(IF(AND(ISNUMBER(F22),INDEX(Raw_Data!$O$5:$O$46,MATCH($A22&amp;"|"&amp;$C$3,Raw_Data!$A$5:$A$46,0))&gt;0),F22/INDEX(Raw_Data!$O$5:$O$46,MATCH($A22&amp;"|"&amp;$C$3,Raw_Data!$A$5:$A$46,0)),"n/a"),"n/a")</f>
        <v>0.48782911077993</v>
      </c>
      <c r="M22" s="31" t="str">
        <f aca="false">IFERROR(IF(AND(ISNUMBER(F22),INDEX(Raw_Data!$R$5:$R$46,MATCH($A22&amp;"|"&amp;$C$3,Raw_Data!$A$5:$A$46,0))&gt;0),F22*1000/INDEX(Raw_Data!$R$5:$R$46,MATCH($A22&amp;"|"&amp;$C$3,Raw_Data!$A$5:$A$46,0)),"n/a"),"n/a")</f>
        <v>n/a</v>
      </c>
      <c r="N22" s="37" t="n">
        <f aca="false">IFERROR(IF(AND(ISNUMBER(F22),ISNUMBER(INDEX(Normalisation!$G$38:$G$79,MATCH($A22&amp;"|"&amp;TEXT(VALUE($C$3)-1,"0"),Normalisation!$A$38:$A$79,0)))),F22/INDEX(Normalisation!$G$38:$G$79,MATCH($A22&amp;"|"&amp;TEXT(VALUE($C$3)-1,"0"),Normalisation!$A$38:$A$79,0))-1,"n/a"),"n/a")</f>
        <v>-0.032512315270936</v>
      </c>
      <c r="O22" s="37" t="n">
        <f aca="false">IFERROR(IF(AND(ISNUMBER(C22),ISNUMBER(INDEX(Raw_Data!$K$5:$K$46,MATCH($A22&amp;"|"&amp;TEXT(VALUE($C$3)-1,"0"),Raw_Data!$A$5:$A$46,0)))),C22/INDEX(Raw_Data!$K$5:$K$46,MATCH($A22&amp;"|"&amp;TEXT(VALUE($C$3)-1,"0"),Raw_Data!$A$5:$A$46,0))-1,"n/a"),"n/a")</f>
        <v>-0.182769445413324</v>
      </c>
      <c r="P22" s="37" t="n">
        <f aca="false">IF(AND(ISNUMBER(N22),ISNUMBER(O22)),N22-O22,"n/a")</f>
        <v>0.150257130142388</v>
      </c>
      <c r="Q22" s="18" t="n">
        <f aca="false">IF(ISNUMBER(W22),RANK(W22,$W$6:$W$26,0),"")</f>
        <v>4</v>
      </c>
      <c r="R22" s="38" t="n">
        <f aca="false">IF(ISNUMBER(W22),W22/$W$28,"n/a")</f>
        <v>2.02716777903551</v>
      </c>
      <c r="S22" s="18" t="str">
        <f aca="false">IF(V22="N","Excluded — see notes",IF(NOT(ISNUMBER(R22)),"Data gap",IF(R22&gt;=$H$3,"Outlier — investigate",IF(R22&lt;=1/$H$3,"Lean overhead","Within range"))))</f>
        <v>Outlier — investigate</v>
      </c>
      <c r="T22" s="29" t="str">
        <f aca="false">IFERROR(INDEX(Normalisation!$J$38:$J$79,MATCH($A22&amp;"|"&amp;$C$3,Normalisation!$A$38:$A$79,0)),"No row for year")</f>
        <v>Company APM definition — narrower than IFRS line</v>
      </c>
      <c r="U22" s="35" t="n">
        <f aca="false">IFERROR(IF(AND(ISNUMBER(INDEX(Normalisation!$H$38:$H$79,MATCH($A22&amp;"|"&amp;$C$3,Normalisation!$A$38:$A$79,0))),ISNUMBER(D22)),INDEX(Normalisation!$H$38:$H$79,MATCH($A22&amp;"|"&amp;$C$3,Normalisation!$A$38:$A$79,0))/D22,"n/a"),"n/a")</f>
        <v>5.97524541186513</v>
      </c>
      <c r="V22" s="29" t="str">
        <f aca="false">INDEX(Normalisation!$M$5:$M$25,MATCH($A22,Normalisation!$A$5:$A$25,0))</f>
        <v>Y</v>
      </c>
      <c r="W22" s="35" t="n">
        <f aca="false">IF(AND(V22="Y",ISNUMBER(H22)),H22,"")</f>
        <v>5.74138062079409</v>
      </c>
      <c r="X22" s="39" t="str">
        <f aca="false">IF(ISNUMBER(INDEX(Normalisation!$J$5:$J$25,MATCH($A22,Normalisation!$A$5:$A$25,0))),INDEX(Normalisation!$J$5:$J$25,MATCH($A22,Normalisation!$A$5:$A$25,0)),"")</f>
        <v/>
      </c>
      <c r="Y22" s="31" t="str">
        <f aca="false">IF(ISNUMBER(INDEX(Normalisation!$K$5:$K$25,MATCH($A22,Normalisation!$A$5:$A$25,0))),INDEX(Normalisation!$K$5:$K$25,MATCH($A22,Normalisation!$A$5:$A$25,0)),"")</f>
        <v/>
      </c>
      <c r="Z22" s="35" t="str">
        <f aca="false">IF(AND(ISNUMBER(X22),ISNUMBER(Y22)),Y22/(X22*365/1000000),"")</f>
        <v/>
      </c>
      <c r="AA22" s="38" t="str">
        <f aca="false">IF(ISNUMBER(Z22),Z22/$W$28,"")</f>
        <v/>
      </c>
    </row>
    <row r="23" customFormat="false" ht="15" hidden="false" customHeight="true" outlineLevel="0" collapsed="false">
      <c r="A23" s="18" t="s">
        <v>191</v>
      </c>
      <c r="B23" s="29" t="str">
        <f aca="false">INDEX(Normalisation!$B$5:$B$25,MATCH($A23,Normalisation!$A$5:$A$25,0))</f>
        <v>Small (&lt;20k)</v>
      </c>
      <c r="C23" s="34" t="n">
        <f aca="false">IFERROR(IF(ISNUMBER(INDEX(Raw_Data!$K$5:$K$46,MATCH($A23&amp;"|"&amp;$C$3,Raw_Data!$A$5:$A$46,0))),INDEX(Raw_Data!$K$5:$K$46,MATCH($A23&amp;"|"&amp;$C$3,Raw_Data!$A$5:$A$46,0)),"n/a"),"n/a")</f>
        <v>19473</v>
      </c>
      <c r="D23" s="31" t="n">
        <f aca="false">IF(ISNUMBER(C23),C23*365/1000000,"n/a")</f>
        <v>7.107645</v>
      </c>
      <c r="E23" s="30" t="n">
        <f aca="false">IFERROR(IF(ISNUMBER(INDEX(Normalisation!$D$38:$D$79,MATCH($A23&amp;"|"&amp;$C$3,Normalisation!$A$38:$A$79,0))),INDEX(Normalisation!$D$38:$D$79,MATCH($A23&amp;"|"&amp;$C$3,Normalisation!$A$38:$A$79,0)),"n/a"),"n/a")</f>
        <v>29.5</v>
      </c>
      <c r="F23" s="30" t="n">
        <f aca="false">IFERROR(IF(ISNUMBER(INDEX(Normalisation!$G$38:$G$79,MATCH($A23&amp;"|"&amp;$C$3,Normalisation!$A$38:$A$79,0))),INDEX(Normalisation!$G$38:$G$79,MATCH($A23&amp;"|"&amp;$C$3,Normalisation!$A$38:$A$79,0)),"n/a"),"n/a")</f>
        <v>29.5</v>
      </c>
      <c r="G23" s="35" t="n">
        <f aca="false">IF(AND(ISNUMBER(E23),ISNUMBER(D23)),E23/D23,"n/a")</f>
        <v>4.15046052525133</v>
      </c>
      <c r="H23" s="35" t="n">
        <f aca="false">IF(AND(ISNUMBER(F23),ISNUMBER(D23)),F23/D23,"n/a")</f>
        <v>4.15046052525133</v>
      </c>
      <c r="I23" s="36" t="n">
        <f aca="false">IF(AND(ISNUMBER(F23),ISNUMBER(C23)),F23/(C23/1000),"n/a")</f>
        <v>1.51491809171674</v>
      </c>
      <c r="J23" s="37" t="n">
        <f aca="false">IFERROR(IF(AND(ISNUMBER(F23),INDEX(Raw_Data!$M$5:$M$46,MATCH($A23&amp;"|"&amp;$C$3,Raw_Data!$A$5:$A$46,0))&gt;0),F23/INDEX(Raw_Data!$M$5:$M$46,MATCH($A23&amp;"|"&amp;$C$3,Raw_Data!$A$5:$A$46,0)),"n/a"),"n/a")</f>
        <v>0.0930893026191228</v>
      </c>
      <c r="K23" s="37" t="n">
        <f aca="false">IFERROR(IF(AND(ISNUMBER(F23),INDEX(Raw_Data!$N$5:$N$46,MATCH($A23&amp;"|"&amp;$C$3,Raw_Data!$A$5:$A$46,0))&gt;0),F23/INDEX(Raw_Data!$N$5:$N$46,MATCH($A23&amp;"|"&amp;$C$3,Raw_Data!$A$5:$A$46,0)),"n/a"),"n/a")</f>
        <v>0.177390258568851</v>
      </c>
      <c r="L23" s="37" t="n">
        <f aca="false">IFERROR(IF(AND(ISNUMBER(F23),INDEX(Raw_Data!$O$5:$O$46,MATCH($A23&amp;"|"&amp;$C$3,Raw_Data!$A$5:$A$46,0))&gt;0),F23/INDEX(Raw_Data!$O$5:$O$46,MATCH($A23&amp;"|"&amp;$C$3,Raw_Data!$A$5:$A$46,0)),"n/a"),"n/a")</f>
        <v>0.179549604382228</v>
      </c>
      <c r="M23" s="31" t="n">
        <f aca="false">IFERROR(IF(AND(ISNUMBER(F23),INDEX(Raw_Data!$R$5:$R$46,MATCH($A23&amp;"|"&amp;$C$3,Raw_Data!$A$5:$A$46,0))&gt;0),F23*1000/INDEX(Raw_Data!$R$5:$R$46,MATCH($A23&amp;"|"&amp;$C$3,Raw_Data!$A$5:$A$46,0)),"n/a"),"n/a")</f>
        <v>126.068376068376</v>
      </c>
      <c r="N23" s="37" t="n">
        <f aca="false">IFERROR(IF(AND(ISNUMBER(F23),ISNUMBER(INDEX(Normalisation!$G$38:$G$79,MATCH($A23&amp;"|"&amp;TEXT(VALUE($C$3)-1,"0"),Normalisation!$A$38:$A$79,0)))),F23/INDEX(Normalisation!$G$38:$G$79,MATCH($A23&amp;"|"&amp;TEXT(VALUE($C$3)-1,"0"),Normalisation!$A$38:$A$79,0))-1,"n/a"),"n/a")</f>
        <v>-0.18710388536787</v>
      </c>
      <c r="O23" s="37" t="n">
        <f aca="false">IFERROR(IF(AND(ISNUMBER(C23),ISNUMBER(INDEX(Raw_Data!$K$5:$K$46,MATCH($A23&amp;"|"&amp;TEXT(VALUE($C$3)-1,"0"),Raw_Data!$A$5:$A$46,0)))),C23/INDEX(Raw_Data!$K$5:$K$46,MATCH($A23&amp;"|"&amp;TEXT(VALUE($C$3)-1,"0"),Raw_Data!$A$5:$A$46,0))-1,"n/a"),"n/a")</f>
        <v>0.0949114422265955</v>
      </c>
      <c r="P23" s="37" t="n">
        <f aca="false">IF(AND(ISNUMBER(N23),ISNUMBER(O23)),N23-O23,"n/a")</f>
        <v>-0.282015327594465</v>
      </c>
      <c r="Q23" s="18" t="n">
        <f aca="false">IF(ISNUMBER(W23),RANK(W23,$W$6:$W$26,0),"")</f>
        <v>7</v>
      </c>
      <c r="R23" s="38" t="n">
        <f aca="false">IF(ISNUMBER(W23),W23/$W$28,"n/a")</f>
        <v>1.4654454042771</v>
      </c>
      <c r="S23" s="18" t="str">
        <f aca="false">IF(V23="N","Excluded — see notes",IF(NOT(ISNUMBER(R23)),"Data gap",IF(R23&gt;=$H$3,"Outlier — investigate",IF(R23&lt;=1/$H$3,"Lean overhead","Within range"))))</f>
        <v>Within range</v>
      </c>
      <c r="T23" s="29" t="str">
        <f aca="false">IFERROR(INDEX(Normalisation!$J$38:$J$79,MATCH($A23&amp;"|"&amp;$C$3,Normalisation!$A$38:$A$79,0)),"No row for year")</f>
        <v>IFRS line</v>
      </c>
      <c r="U23" s="35" t="str">
        <f aca="false">IFERROR(IF(AND(ISNUMBER(INDEX(Normalisation!$H$38:$H$79,MATCH($A23&amp;"|"&amp;$C$3,Normalisation!$A$38:$A$79,0))),ISNUMBER(D23)),INDEX(Normalisation!$H$38:$H$79,MATCH($A23&amp;"|"&amp;$C$3,Normalisation!$A$38:$A$79,0))/D23,"n/a"),"n/a")</f>
        <v>n/a</v>
      </c>
      <c r="V23" s="29" t="str">
        <f aca="false">INDEX(Normalisation!$M$5:$M$25,MATCH($A23,Normalisation!$A$5:$A$25,0))</f>
        <v>Y</v>
      </c>
      <c r="W23" s="35" t="n">
        <f aca="false">IF(AND(V23="Y",ISNUMBER(H23)),H23,"")</f>
        <v>4.15046052525133</v>
      </c>
      <c r="X23" s="39" t="str">
        <f aca="false">IF(ISNUMBER(INDEX(Normalisation!$J$5:$J$25,MATCH($A23,Normalisation!$A$5:$A$25,0))),INDEX(Normalisation!$J$5:$J$25,MATCH($A23,Normalisation!$A$5:$A$25,0)),"")</f>
        <v/>
      </c>
      <c r="Y23" s="31" t="str">
        <f aca="false">IF(ISNUMBER(INDEX(Normalisation!$K$5:$K$25,MATCH($A23,Normalisation!$A$5:$A$25,0))),INDEX(Normalisation!$K$5:$K$25,MATCH($A23,Normalisation!$A$5:$A$25,0)),"")</f>
        <v/>
      </c>
      <c r="Z23" s="35" t="str">
        <f aca="false">IF(AND(ISNUMBER(X23),ISNUMBER(Y23)),Y23/(X23*365/1000000),"")</f>
        <v/>
      </c>
      <c r="AA23" s="38" t="str">
        <f aca="false">IF(ISNUMBER(Z23),Z23/$W$28,"")</f>
        <v/>
      </c>
    </row>
    <row r="24" customFormat="false" ht="15" hidden="false" customHeight="true" outlineLevel="0" collapsed="false">
      <c r="A24" s="18" t="s">
        <v>199</v>
      </c>
      <c r="B24" s="29" t="str">
        <f aca="false">INDEX(Normalisation!$B$5:$B$25,MATCH($A24,Normalisation!$A$5:$A$25,0))</f>
        <v>Small (&lt;20k)</v>
      </c>
      <c r="C24" s="34" t="n">
        <f aca="false">IFERROR(IF(ISNUMBER(INDEX(Raw_Data!$K$5:$K$46,MATCH($A24&amp;"|"&amp;$C$3,Raw_Data!$A$5:$A$46,0))),INDEX(Raw_Data!$K$5:$K$46,MATCH($A24&amp;"|"&amp;$C$3,Raw_Data!$A$5:$A$46,0)),"n/a"),"n/a")</f>
        <v>4012</v>
      </c>
      <c r="D24" s="31" t="n">
        <f aca="false">IF(ISNUMBER(C24),C24*365/1000000,"n/a")</f>
        <v>1.46438</v>
      </c>
      <c r="E24" s="30" t="n">
        <f aca="false">IFERROR(IF(ISNUMBER(INDEX(Normalisation!$D$38:$D$79,MATCH($A24&amp;"|"&amp;$C$3,Normalisation!$A$38:$A$79,0))),INDEX(Normalisation!$D$38:$D$79,MATCH($A24&amp;"|"&amp;$C$3,Normalisation!$A$38:$A$79,0)),"n/a"),"n/a")</f>
        <v>11.94</v>
      </c>
      <c r="F24" s="30" t="n">
        <f aca="false">IFERROR(IF(ISNUMBER(INDEX(Normalisation!$G$38:$G$79,MATCH($A24&amp;"|"&amp;$C$3,Normalisation!$A$38:$A$79,0))),INDEX(Normalisation!$G$38:$G$79,MATCH($A24&amp;"|"&amp;$C$3,Normalisation!$A$38:$A$79,0)),"n/a"),"n/a")</f>
        <v>11.94</v>
      </c>
      <c r="G24" s="35" t="n">
        <f aca="false">IF(AND(ISNUMBER(E24),ISNUMBER(D24)),E24/D24,"n/a")</f>
        <v>8.15362132779743</v>
      </c>
      <c r="H24" s="35" t="n">
        <f aca="false">IF(AND(ISNUMBER(F24),ISNUMBER(D24)),F24/D24,"n/a")</f>
        <v>8.15362132779743</v>
      </c>
      <c r="I24" s="36" t="n">
        <f aca="false">IF(AND(ISNUMBER(F24),ISNUMBER(C24)),F24/(C24/1000),"n/a")</f>
        <v>2.97607178464606</v>
      </c>
      <c r="J24" s="37" t="n">
        <f aca="false">IFERROR(IF(AND(ISNUMBER(F24),INDEX(Raw_Data!$M$5:$M$46,MATCH($A24&amp;"|"&amp;$C$3,Raw_Data!$A$5:$A$46,0))&gt;0),F24/INDEX(Raw_Data!$M$5:$M$46,MATCH($A24&amp;"|"&amp;$C$3,Raw_Data!$A$5:$A$46,0)),"n/a"),"n/a")</f>
        <v>0.16936170212766</v>
      </c>
      <c r="K24" s="37" t="n">
        <f aca="false">IFERROR(IF(AND(ISNUMBER(F24),INDEX(Raw_Data!$N$5:$N$46,MATCH($A24&amp;"|"&amp;$C$3,Raw_Data!$A$5:$A$46,0))&gt;0),F24/INDEX(Raw_Data!$N$5:$N$46,MATCH($A24&amp;"|"&amp;$C$3,Raw_Data!$A$5:$A$46,0)),"n/a"),"n/a")</f>
        <v>0.341435516156706</v>
      </c>
      <c r="L24" s="37" t="n">
        <f aca="false">IFERROR(IF(AND(ISNUMBER(F24),INDEX(Raw_Data!$O$5:$O$46,MATCH($A24&amp;"|"&amp;$C$3,Raw_Data!$A$5:$A$46,0))&gt;0),F24/INDEX(Raw_Data!$O$5:$O$46,MATCH($A24&amp;"|"&amp;$C$3,Raw_Data!$A$5:$A$46,0)),"n/a"),"n/a")</f>
        <v>0.445522388059701</v>
      </c>
      <c r="M24" s="31" t="str">
        <f aca="false">IFERROR(IF(AND(ISNUMBER(F24),INDEX(Raw_Data!$R$5:$R$46,MATCH($A24&amp;"|"&amp;$C$3,Raw_Data!$A$5:$A$46,0))&gt;0),F24*1000/INDEX(Raw_Data!$R$5:$R$46,MATCH($A24&amp;"|"&amp;$C$3,Raw_Data!$A$5:$A$46,0)),"n/a"),"n/a")</f>
        <v>n/a</v>
      </c>
      <c r="N24" s="37" t="n">
        <f aca="false">IFERROR(IF(AND(ISNUMBER(F24),ISNUMBER(INDEX(Normalisation!$G$38:$G$79,MATCH($A24&amp;"|"&amp;TEXT(VALUE($C$3)-1,"0"),Normalisation!$A$38:$A$79,0)))),F24/INDEX(Normalisation!$G$38:$G$79,MATCH($A24&amp;"|"&amp;TEXT(VALUE($C$3)-1,"0"),Normalisation!$A$38:$A$79,0))-1,"n/a"),"n/a")</f>
        <v>-0.0729813664596274</v>
      </c>
      <c r="O24" s="37" t="n">
        <f aca="false">IFERROR(IF(AND(ISNUMBER(C24),ISNUMBER(INDEX(Raw_Data!$K$5:$K$46,MATCH($A24&amp;"|"&amp;TEXT(VALUE($C$3)-1,"0"),Raw_Data!$A$5:$A$46,0)))),C24/INDEX(Raw_Data!$K$5:$K$46,MATCH($A24&amp;"|"&amp;TEXT(VALUE($C$3)-1,"0"),Raw_Data!$A$5:$A$46,0))-1,"n/a"),"n/a")</f>
        <v>0.132693393562959</v>
      </c>
      <c r="P24" s="37" t="n">
        <f aca="false">IF(AND(ISNUMBER(N24),ISNUMBER(O24)),N24-O24,"n/a")</f>
        <v>-0.205674760022586</v>
      </c>
      <c r="Q24" s="18" t="n">
        <f aca="false">IF(ISNUMBER(W24),RANK(W24,$W$6:$W$26,0),"")</f>
        <v>3</v>
      </c>
      <c r="R24" s="38" t="n">
        <f aca="false">IF(ISNUMBER(W24),W24/$W$28,"n/a")</f>
        <v>2.87888219399772</v>
      </c>
      <c r="S24" s="18" t="str">
        <f aca="false">IF(V24="N","Excluded — see notes",IF(NOT(ISNUMBER(R24)),"Data gap",IF(R24&gt;=$H$3,"Outlier — investigate",IF(R24&lt;=1/$H$3,"Lean overhead","Within range"))))</f>
        <v>Outlier — investigate</v>
      </c>
      <c r="T24" s="29" t="str">
        <f aca="false">IFERROR(INDEX(Normalisation!$J$38:$J$79,MATCH($A24&amp;"|"&amp;$C$3,Normalisation!$A$38:$A$79,0)),"No row for year")</f>
        <v>IFRS line</v>
      </c>
      <c r="U24" s="35" t="str">
        <f aca="false">IFERROR(IF(AND(ISNUMBER(INDEX(Normalisation!$H$38:$H$79,MATCH($A24&amp;"|"&amp;$C$3,Normalisation!$A$38:$A$79,0))),ISNUMBER(D24)),INDEX(Normalisation!$H$38:$H$79,MATCH($A24&amp;"|"&amp;$C$3,Normalisation!$A$38:$A$79,0))/D24,"n/a"),"n/a")</f>
        <v>n/a</v>
      </c>
      <c r="V24" s="29" t="str">
        <f aca="false">INDEX(Normalisation!$M$5:$M$25,MATCH($A24,Normalisation!$A$5:$A$25,0))</f>
        <v>Y</v>
      </c>
      <c r="W24" s="35" t="n">
        <f aca="false">IF(AND(V24="Y",ISNUMBER(H24)),H24,"")</f>
        <v>8.15362132779743</v>
      </c>
      <c r="X24" s="39" t="str">
        <f aca="false">IF(ISNUMBER(INDEX(Normalisation!$J$5:$J$25,MATCH($A24,Normalisation!$A$5:$A$25,0))),INDEX(Normalisation!$J$5:$J$25,MATCH($A24,Normalisation!$A$5:$A$25,0)),"")</f>
        <v/>
      </c>
      <c r="Y24" s="31" t="str">
        <f aca="false">IF(ISNUMBER(INDEX(Normalisation!$K$5:$K$25,MATCH($A24,Normalisation!$A$5:$A$25,0))),INDEX(Normalisation!$K$5:$K$25,MATCH($A24,Normalisation!$A$5:$A$25,0)),"")</f>
        <v/>
      </c>
      <c r="Z24" s="35" t="str">
        <f aca="false">IF(AND(ISNUMBER(X24),ISNUMBER(Y24)),Y24/(X24*365/1000000),"")</f>
        <v/>
      </c>
      <c r="AA24" s="38" t="str">
        <f aca="false">IF(ISNUMBER(Z24),Z24/$W$28,"")</f>
        <v/>
      </c>
    </row>
    <row r="25" customFormat="false" ht="15" hidden="false" customHeight="true" outlineLevel="0" collapsed="false">
      <c r="A25" s="18" t="s">
        <v>206</v>
      </c>
      <c r="B25" s="29" t="str">
        <f aca="false">INDEX(Normalisation!$B$5:$B$25,MATCH($A25,Normalisation!$A$5:$A$25,0))</f>
        <v>Small (&lt;20k)</v>
      </c>
      <c r="C25" s="34" t="n">
        <f aca="false">IFERROR(IF(ISNUMBER(INDEX(Raw_Data!$K$5:$K$46,MATCH($A25&amp;"|"&amp;$C$3,Raw_Data!$A$5:$A$46,0))),INDEX(Raw_Data!$K$5:$K$46,MATCH($A25&amp;"|"&amp;$C$3,Raw_Data!$A$5:$A$46,0)),"n/a"),"n/a")</f>
        <v>1886</v>
      </c>
      <c r="D25" s="31" t="n">
        <f aca="false">IF(ISNUMBER(C25),C25*365/1000000,"n/a")</f>
        <v>0.68839</v>
      </c>
      <c r="E25" s="30" t="n">
        <f aca="false">IFERROR(IF(ISNUMBER(INDEX(Normalisation!$D$38:$D$79,MATCH($A25&amp;"|"&amp;$C$3,Normalisation!$A$38:$A$79,0))),INDEX(Normalisation!$D$38:$D$79,MATCH($A25&amp;"|"&amp;$C$3,Normalisation!$A$38:$A$79,0)),"n/a"),"n/a")</f>
        <v>6.48</v>
      </c>
      <c r="F25" s="30" t="n">
        <f aca="false">IFERROR(IF(ISNUMBER(INDEX(Normalisation!$G$38:$G$79,MATCH($A25&amp;"|"&amp;$C$3,Normalisation!$A$38:$A$79,0))),INDEX(Normalisation!$G$38:$G$79,MATCH($A25&amp;"|"&amp;$C$3,Normalisation!$A$38:$A$79,0)),"n/a"),"n/a")</f>
        <v>5.89</v>
      </c>
      <c r="G25" s="35" t="n">
        <f aca="false">IF(AND(ISNUMBER(E25),ISNUMBER(D25)),E25/D25,"n/a")</f>
        <v>9.41326864132251</v>
      </c>
      <c r="H25" s="35" t="n">
        <f aca="false">IF(AND(ISNUMBER(F25),ISNUMBER(D25)),F25/D25,"n/a")</f>
        <v>8.55619634218975</v>
      </c>
      <c r="I25" s="36" t="n">
        <f aca="false">IF(AND(ISNUMBER(F25),ISNUMBER(C25)),F25/(C25/1000),"n/a")</f>
        <v>3.12301166489926</v>
      </c>
      <c r="J25" s="37" t="n">
        <f aca="false">IFERROR(IF(AND(ISNUMBER(F25),INDEX(Raw_Data!$M$5:$M$46,MATCH($A25&amp;"|"&amp;$C$3,Raw_Data!$A$5:$A$46,0))&gt;0),F25/INDEX(Raw_Data!$M$5:$M$46,MATCH($A25&amp;"|"&amp;$C$3,Raw_Data!$A$5:$A$46,0)),"n/a"),"n/a")</f>
        <v>0.128602620087336</v>
      </c>
      <c r="K25" s="37" t="n">
        <f aca="false">IFERROR(IF(AND(ISNUMBER(F25),INDEX(Raw_Data!$N$5:$N$46,MATCH($A25&amp;"|"&amp;$C$3,Raw_Data!$A$5:$A$46,0))&gt;0),F25/INDEX(Raw_Data!$N$5:$N$46,MATCH($A25&amp;"|"&amp;$C$3,Raw_Data!$A$5:$A$46,0)),"n/a"),"n/a")</f>
        <v>0.577450980392157</v>
      </c>
      <c r="L25" s="37" t="n">
        <f aca="false">IFERROR(IF(AND(ISNUMBER(F25),INDEX(Raw_Data!$O$5:$O$46,MATCH($A25&amp;"|"&amp;$C$3,Raw_Data!$A$5:$A$46,0))&gt;0),F25/INDEX(Raw_Data!$O$5:$O$46,MATCH($A25&amp;"|"&amp;$C$3,Raw_Data!$A$5:$A$46,0)),"n/a"),"n/a")</f>
        <v>0.710494571773221</v>
      </c>
      <c r="M25" s="31" t="n">
        <f aca="false">IFERROR(IF(AND(ISNUMBER(F25),INDEX(Raw_Data!$R$5:$R$46,MATCH($A25&amp;"|"&amp;$C$3,Raw_Data!$A$5:$A$46,0))&gt;0),F25*1000/INDEX(Raw_Data!$R$5:$R$46,MATCH($A25&amp;"|"&amp;$C$3,Raw_Data!$A$5:$A$46,0)),"n/a"),"n/a")</f>
        <v>51.6666666666667</v>
      </c>
      <c r="N25" s="37" t="n">
        <f aca="false">IFERROR(IF(AND(ISNUMBER(F25),ISNUMBER(INDEX(Normalisation!$G$38:$G$79,MATCH($A25&amp;"|"&amp;TEXT(VALUE($C$3)-1,"0"),Normalisation!$A$38:$A$79,0)))),F25/INDEX(Normalisation!$G$38:$G$79,MATCH($A25&amp;"|"&amp;TEXT(VALUE($C$3)-1,"0"),Normalisation!$A$38:$A$79,0))-1,"n/a"),"n/a")</f>
        <v>-0.315116279069767</v>
      </c>
      <c r="O25" s="37" t="n">
        <f aca="false">IFERROR(IF(AND(ISNUMBER(C25),ISNUMBER(INDEX(Raw_Data!$K$5:$K$46,MATCH($A25&amp;"|"&amp;TEXT(VALUE($C$3)-1,"0"),Raw_Data!$A$5:$A$46,0)))),C25/INDEX(Raw_Data!$K$5:$K$46,MATCH($A25&amp;"|"&amp;TEXT(VALUE($C$3)-1,"0"),Raw_Data!$A$5:$A$46,0))-1,"n/a"),"n/a")</f>
        <v>-0.0517848164906989</v>
      </c>
      <c r="P25" s="37" t="n">
        <f aca="false">IF(AND(ISNUMBER(N25),ISNUMBER(O25)),N25-O25,"n/a")</f>
        <v>-0.263331462579069</v>
      </c>
      <c r="Q25" s="18" t="n">
        <f aca="false">IF(ISNUMBER(W25),RANK(W25,$W$6:$W$26,0),"")</f>
        <v>2</v>
      </c>
      <c r="R25" s="38" t="n">
        <f aca="false">IF(ISNUMBER(W25),W25/$W$28,"n/a")</f>
        <v>3.02102345787163</v>
      </c>
      <c r="S25" s="18" t="str">
        <f aca="false">IF(V25="N","Excluded — see notes",IF(NOT(ISNUMBER(R25)),"Data gap",IF(R25&gt;=$H$3,"Outlier — investigate",IF(R25&lt;=1/$H$3,"Lean overhead","Within range"))))</f>
        <v>Outlier — investigate</v>
      </c>
      <c r="T25" s="29" t="str">
        <f aca="false">IFERROR(INDEX(Normalisation!$J$38:$J$79,MATCH($A25&amp;"|"&amp;$C$3,Normalisation!$A$38:$A$79,0)),"No row for year")</f>
        <v>IFRS line</v>
      </c>
      <c r="U25" s="35" t="str">
        <f aca="false">IFERROR(IF(AND(ISNUMBER(INDEX(Normalisation!$H$38:$H$79,MATCH($A25&amp;"|"&amp;$C$3,Normalisation!$A$38:$A$79,0))),ISNUMBER(D25)),INDEX(Normalisation!$H$38:$H$79,MATCH($A25&amp;"|"&amp;$C$3,Normalisation!$A$38:$A$79,0))/D25,"n/a"),"n/a")</f>
        <v>n/a</v>
      </c>
      <c r="V25" s="29" t="str">
        <f aca="false">INDEX(Normalisation!$M$5:$M$25,MATCH($A25,Normalisation!$A$5:$A$25,0))</f>
        <v>Y</v>
      </c>
      <c r="W25" s="35" t="n">
        <f aca="false">IF(AND(V25="Y",ISNUMBER(H25)),H25,"")</f>
        <v>8.55619634218975</v>
      </c>
      <c r="X25" s="39" t="str">
        <f aca="false">IF(ISNUMBER(INDEX(Normalisation!$J$5:$J$25,MATCH($A25,Normalisation!$A$5:$A$25,0))),INDEX(Normalisation!$J$5:$J$25,MATCH($A25,Normalisation!$A$5:$A$25,0)),"")</f>
        <v/>
      </c>
      <c r="Y25" s="31" t="str">
        <f aca="false">IF(ISNUMBER(INDEX(Normalisation!$K$5:$K$25,MATCH($A25,Normalisation!$A$5:$A$25,0))),INDEX(Normalisation!$K$5:$K$25,MATCH($A25,Normalisation!$A$5:$A$25,0)),"")</f>
        <v/>
      </c>
      <c r="Z25" s="35" t="str">
        <f aca="false">IF(AND(ISNUMBER(X25),ISNUMBER(Y25)),Y25/(X25*365/1000000),"")</f>
        <v/>
      </c>
      <c r="AA25" s="38" t="str">
        <f aca="false">IF(ISNUMBER(Z25),Z25/$W$28,"")</f>
        <v/>
      </c>
    </row>
    <row r="26" customFormat="false" ht="15" hidden="false" customHeight="true" outlineLevel="0" collapsed="false">
      <c r="A26" s="18" t="s">
        <v>217</v>
      </c>
      <c r="B26" s="29" t="str">
        <f aca="false">INDEX(Normalisation!$B$5:$B$25,MATCH($A26,Normalisation!$A$5:$A$25,0))</f>
        <v>Small (&lt;20k)</v>
      </c>
      <c r="C26" s="34" t="n">
        <f aca="false">IFERROR(IF(ISNUMBER(INDEX(Raw_Data!$K$5:$K$46,MATCH($A26&amp;"|"&amp;$C$3,Raw_Data!$A$5:$A$46,0))),INDEX(Raw_Data!$K$5:$K$46,MATCH($A26&amp;"|"&amp;$C$3,Raw_Data!$A$5:$A$46,0)),"n/a"),"n/a")</f>
        <v>864</v>
      </c>
      <c r="D26" s="31" t="n">
        <f aca="false">IF(ISNUMBER(C26),C26*365/1000000,"n/a")</f>
        <v>0.31536</v>
      </c>
      <c r="E26" s="30" t="n">
        <f aca="false">IFERROR(IF(ISNUMBER(INDEX(Normalisation!$D$38:$D$79,MATCH($A26&amp;"|"&amp;$C$3,Normalisation!$A$38:$A$79,0))),INDEX(Normalisation!$D$38:$D$79,MATCH($A26&amp;"|"&amp;$C$3,Normalisation!$A$38:$A$79,0)),"n/a"),"n/a")</f>
        <v>5.835</v>
      </c>
      <c r="F26" s="30" t="n">
        <f aca="false">IFERROR(IF(ISNUMBER(INDEX(Normalisation!$G$38:$G$79,MATCH($A26&amp;"|"&amp;$C$3,Normalisation!$A$38:$A$79,0))),INDEX(Normalisation!$G$38:$G$79,MATCH($A26&amp;"|"&amp;$C$3,Normalisation!$A$38:$A$79,0)),"n/a"),"n/a")</f>
        <v>5.835</v>
      </c>
      <c r="G26" s="35" t="n">
        <f aca="false">IF(AND(ISNUMBER(E26),ISNUMBER(D26)),E26/D26,"n/a")</f>
        <v>18.5026636225266</v>
      </c>
      <c r="H26" s="35" t="n">
        <f aca="false">IF(AND(ISNUMBER(F26),ISNUMBER(D26)),F26/D26,"n/a")</f>
        <v>18.5026636225266</v>
      </c>
      <c r="I26" s="36" t="n">
        <f aca="false">IF(AND(ISNUMBER(F26),ISNUMBER(C26)),F26/(C26/1000),"n/a")</f>
        <v>6.75347222222222</v>
      </c>
      <c r="J26" s="37" t="n">
        <f aca="false">IFERROR(IF(AND(ISNUMBER(F26),INDEX(Raw_Data!$M$5:$M$46,MATCH($A26&amp;"|"&amp;$C$3,Raw_Data!$A$5:$A$46,0))&gt;0),F26/INDEX(Raw_Data!$M$5:$M$46,MATCH($A26&amp;"|"&amp;$C$3,Raw_Data!$A$5:$A$46,0)),"n/a"),"n/a")</f>
        <v>0.419452232046582</v>
      </c>
      <c r="K26" s="37" t="n">
        <f aca="false">IFERROR(IF(AND(ISNUMBER(F26),INDEX(Raw_Data!$N$5:$N$46,MATCH($A26&amp;"|"&amp;$C$3,Raw_Data!$A$5:$A$46,0))&gt;0),F26/INDEX(Raw_Data!$N$5:$N$46,MATCH($A26&amp;"|"&amp;$C$3,Raw_Data!$A$5:$A$46,0)),"n/a"),"n/a")</f>
        <v>3.43235294117647</v>
      </c>
      <c r="L26" s="37" t="n">
        <f aca="false">IFERROR(IF(AND(ISNUMBER(F26),INDEX(Raw_Data!$O$5:$O$46,MATCH($A26&amp;"|"&amp;$C$3,Raw_Data!$A$5:$A$46,0))&gt;0),F26/INDEX(Raw_Data!$O$5:$O$46,MATCH($A26&amp;"|"&amp;$C$3,Raw_Data!$A$5:$A$46,0)),"n/a"),"n/a")</f>
        <v>9.64462809917355</v>
      </c>
      <c r="M26" s="31" t="str">
        <f aca="false">IFERROR(IF(AND(ISNUMBER(F26),INDEX(Raw_Data!$R$5:$R$46,MATCH($A26&amp;"|"&amp;$C$3,Raw_Data!$A$5:$A$46,0))&gt;0),F26*1000/INDEX(Raw_Data!$R$5:$R$46,MATCH($A26&amp;"|"&amp;$C$3,Raw_Data!$A$5:$A$46,0)),"n/a"),"n/a")</f>
        <v>n/a</v>
      </c>
      <c r="N26" s="37" t="n">
        <f aca="false">IFERROR(IF(AND(ISNUMBER(F26),ISNUMBER(INDEX(Normalisation!$G$38:$G$79,MATCH($A26&amp;"|"&amp;TEXT(VALUE($C$3)-1,"0"),Normalisation!$A$38:$A$79,0)))),F26/INDEX(Normalisation!$G$38:$G$79,MATCH($A26&amp;"|"&amp;TEXT(VALUE($C$3)-1,"0"),Normalisation!$A$38:$A$79,0))-1,"n/a"),"n/a")</f>
        <v>-0.0235943775100401</v>
      </c>
      <c r="O26" s="37" t="n">
        <f aca="false">IFERROR(IF(AND(ISNUMBER(C26),ISNUMBER(INDEX(Raw_Data!$K$5:$K$46,MATCH($A26&amp;"|"&amp;TEXT(VALUE($C$3)-1,"0"),Raw_Data!$A$5:$A$46,0)))),C26/INDEX(Raw_Data!$K$5:$K$46,MATCH($A26&amp;"|"&amp;TEXT(VALUE($C$3)-1,"0"),Raw_Data!$A$5:$A$46,0))-1,"n/a"),"n/a")</f>
        <v>-0.178707224334601</v>
      </c>
      <c r="P26" s="37" t="n">
        <f aca="false">IF(AND(ISNUMBER(N26),ISNUMBER(O26)),N26-O26,"n/a")</f>
        <v>0.155112846824561</v>
      </c>
      <c r="Q26" s="18" t="n">
        <f aca="false">IF(ISNUMBER(W26),RANK(W26,$W$6:$W$26,0),"")</f>
        <v>1</v>
      </c>
      <c r="R26" s="38" t="n">
        <f aca="false">IF(ISNUMBER(W26),W26/$W$28,"n/a")</f>
        <v>6.53292404723564</v>
      </c>
      <c r="S26" s="18" t="str">
        <f aca="false">IF(V26="N","Excluded — see notes",IF(NOT(ISNUMBER(R26)),"Data gap",IF(R26&gt;=$H$3,"Outlier — investigate",IF(R26&lt;=1/$H$3,"Lean overhead","Within range"))))</f>
        <v>Outlier — investigate</v>
      </c>
      <c r="T26" s="29" t="str">
        <f aca="false">IFERROR(INDEX(Normalisation!$J$38:$J$79,MATCH($A26&amp;"|"&amp;$C$3,Normalisation!$A$38:$A$79,0)),"No row for year")</f>
        <v>IFRS line</v>
      </c>
      <c r="U26" s="35" t="str">
        <f aca="false">IFERROR(IF(AND(ISNUMBER(INDEX(Normalisation!$H$38:$H$79,MATCH($A26&amp;"|"&amp;$C$3,Normalisation!$A$38:$A$79,0))),ISNUMBER(D26)),INDEX(Normalisation!$H$38:$H$79,MATCH($A26&amp;"|"&amp;$C$3,Normalisation!$A$38:$A$79,0))/D26,"n/a"),"n/a")</f>
        <v>n/a</v>
      </c>
      <c r="V26" s="29" t="str">
        <f aca="false">INDEX(Normalisation!$M$5:$M$25,MATCH($A26,Normalisation!$A$5:$A$25,0))</f>
        <v>Y</v>
      </c>
      <c r="W26" s="35" t="n">
        <f aca="false">IF(AND(V26="Y",ISNUMBER(H26)),H26,"")</f>
        <v>18.5026636225266</v>
      </c>
      <c r="X26" s="39" t="str">
        <f aca="false">IF(ISNUMBER(INDEX(Normalisation!$J$5:$J$25,MATCH($A26,Normalisation!$A$5:$A$25,0))),INDEX(Normalisation!$J$5:$J$25,MATCH($A26,Normalisation!$A$5:$A$25,0)),"")</f>
        <v/>
      </c>
      <c r="Y26" s="31" t="str">
        <f aca="false">IF(ISNUMBER(INDEX(Normalisation!$K$5:$K$25,MATCH($A26,Normalisation!$A$5:$A$25,0))),INDEX(Normalisation!$K$5:$K$25,MATCH($A26,Normalisation!$A$5:$A$25,0)),"")</f>
        <v/>
      </c>
      <c r="Z26" s="35" t="str">
        <f aca="false">IF(AND(ISNUMBER(X26),ISNUMBER(Y26)),Y26/(X26*365/1000000),"")</f>
        <v/>
      </c>
      <c r="AA26" s="38" t="str">
        <f aca="false">IF(ISNUMBER(Z26),Z26/$W$28,"")</f>
        <v/>
      </c>
    </row>
    <row r="28" customFormat="false" ht="15" hidden="false" customHeight="true" outlineLevel="0" collapsed="false">
      <c r="A28" s="4" t="s">
        <v>356</v>
      </c>
      <c r="D28" s="40" t="n">
        <f aca="false">IFERROR(MEDIAN(D6:D26),"n/a")</f>
        <v>7.30876</v>
      </c>
      <c r="E28" s="40" t="n">
        <f aca="false">IFERROR(MEDIAN(E6:E26),"n/a")</f>
        <v>23.428</v>
      </c>
      <c r="F28" s="40" t="n">
        <f aca="false">IFERROR(MEDIAN(F6:F26),"n/a")</f>
        <v>20.126</v>
      </c>
      <c r="G28" s="41" t="n">
        <f aca="false">IFERROR(MEDIAN(G6:G26),"n/a")</f>
        <v>3.3463175894185</v>
      </c>
      <c r="H28" s="41" t="n">
        <f aca="false">IFERROR(MEDIAN(H6:H26),"n/a")</f>
        <v>3.05899114827117</v>
      </c>
      <c r="I28" s="42" t="n">
        <f aca="false">IFERROR(MEDIAN(I6:I26),"n/a")</f>
        <v>1.11653176911898</v>
      </c>
      <c r="J28" s="43" t="n">
        <f aca="false">IFERROR(MEDIAN(J6:J26),"n/a")</f>
        <v>0.0771783141319002</v>
      </c>
      <c r="K28" s="43" t="n">
        <f aca="false">IFERROR(MEDIAN(K6:K26),"n/a")</f>
        <v>0.142815143779031</v>
      </c>
      <c r="L28" s="43" t="n">
        <f aca="false">IFERROR(MEDIAN(L6:L26),"n/a")</f>
        <v>0.163575043093865</v>
      </c>
      <c r="M28" s="40" t="n">
        <f aca="false">IFERROR(MEDIAN(M6:M26),"n/a")</f>
        <v>109.248554913295</v>
      </c>
      <c r="N28" s="43" t="n">
        <f aca="false">IFERROR(MEDIAN(N6:N26),"n/a")</f>
        <v>0.00539478832234402</v>
      </c>
      <c r="O28" s="43" t="n">
        <f aca="false">IFERROR(MEDIAN(O6:O26),"n/a")</f>
        <v>0.0214062768807295</v>
      </c>
      <c r="P28" s="43" t="n">
        <f aca="false">IFERROR(MEDIAN(P6:P26),"n/a")</f>
        <v>0.0176075818857731</v>
      </c>
      <c r="S28" s="3" t="s">
        <v>357</v>
      </c>
      <c r="U28" s="41" t="n">
        <f aca="false">IFERROR(MEDIAN(U6:U26),"n/a")</f>
        <v>6.70637977534183</v>
      </c>
      <c r="W28" s="41" t="n">
        <f aca="false">IFERROR(MEDIAN(W6:W26),"n/a")</f>
        <v>2.83221777702374</v>
      </c>
      <c r="Z28" s="41" t="n">
        <f aca="false">IFERROR(MEDIAN(Z6:Z26),"n/a")</f>
        <v>3.58712328767123</v>
      </c>
    </row>
    <row r="29" customFormat="false" ht="15" hidden="false" customHeight="true" outlineLevel="0" collapsed="false">
      <c r="A29" s="4" t="s">
        <v>358</v>
      </c>
      <c r="H29" s="4" t="n">
        <f aca="false">COUNT(W6:W26)</f>
        <v>19</v>
      </c>
    </row>
    <row r="31" customFormat="false" ht="15" hidden="false" customHeight="true" outlineLevel="0" collapsed="false">
      <c r="A31" s="4" t="s">
        <v>359</v>
      </c>
    </row>
    <row r="32" customFormat="false" ht="15" hidden="false" customHeight="true" outlineLevel="0" collapsed="false">
      <c r="A32" s="6" t="s">
        <v>239</v>
      </c>
      <c r="H32" s="44" t="n">
        <f aca="false">IFERROR(AVERAGEIFS(W6:W26,B6:B26,A32),"n/a")</f>
        <v>2.13892094416235</v>
      </c>
      <c r="I32" s="45" t="n">
        <f aca="false">IFERROR(AVERAGEIFS(I6:I26,B6:B26,A32),"n/a")</f>
        <v>0.780706144619256</v>
      </c>
    </row>
    <row r="33" customFormat="false" ht="15" hidden="false" customHeight="true" outlineLevel="0" collapsed="false">
      <c r="A33" s="6" t="s">
        <v>248</v>
      </c>
      <c r="H33" s="44" t="n">
        <f aca="false">IFERROR(AVERAGEIFS(W6:W26,B6:B26,A33),"n/a")</f>
        <v>1.99834680716364</v>
      </c>
      <c r="I33" s="45" t="n">
        <f aca="false">IFERROR(AVERAGEIFS(I6:I26,B6:B26,A33),"n/a")</f>
        <v>0.729396584614728</v>
      </c>
    </row>
    <row r="34" customFormat="false" ht="15" hidden="false" customHeight="true" outlineLevel="0" collapsed="false">
      <c r="A34" s="6" t="s">
        <v>276</v>
      </c>
      <c r="H34" s="44" t="n">
        <f aca="false">IFERROR(AVERAGEIFS(W6:W26,B6:B26,A34),"n/a")</f>
        <v>7.06939040673149</v>
      </c>
      <c r="I34" s="45" t="n">
        <f aca="false">IFERROR(AVERAGEIFS(I6:I26,B6:B26,A34),"n/a")</f>
        <v>2.42688044858669</v>
      </c>
    </row>
  </sheetData>
  <autoFilter ref="A5:AA26"/>
  <conditionalFormatting sqref="S6:S26">
    <cfRule type="expression" priority="2" aboveAverage="0" equalAverage="0" bottom="0" percent="0" rank="0" text="" dxfId="10">
      <formula>LEFT(S6,7)="Outlier"</formula>
    </cfRule>
    <cfRule type="expression" priority="3" aboveAverage="0" equalAverage="0" bottom="0" percent="0" rank="0" text="" dxfId="11">
      <formula>LEFT(S6,4)="Lean"</formula>
    </cfRule>
  </conditionalFormatting>
  <dataValidations count="1">
    <dataValidation allowBlank="false" errorStyle="stop" operator="between" showDropDown="false" showErrorMessage="false" showInputMessage="false" sqref="C3" type="list">
      <formula1>"2025,2024"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2"/>
    <col collapsed="false" customWidth="true" hidden="false" outlineLevel="0" max="5" min="3" style="1" width="10"/>
    <col collapsed="false" customWidth="true" hidden="false" outlineLevel="0" max="6" min="6" style="1" width="12"/>
    <col collapsed="false" customWidth="true" hidden="false" outlineLevel="0" max="7" min="7" style="1" width="22"/>
    <col collapsed="false" customWidth="true" hidden="false" outlineLevel="0" max="8" min="8" style="1" width="9"/>
    <col collapsed="false" customWidth="true" hidden="false" outlineLevel="0" max="9" min="9" style="1" width="12"/>
    <col collapsed="false" customWidth="true" hidden="false" outlineLevel="0" max="10" min="10" style="1" width="10"/>
    <col collapsed="false" customWidth="true" hidden="false" outlineLevel="0" max="12" min="11" style="1" width="18"/>
    <col collapsed="false" customWidth="true" hidden="false" outlineLevel="0" max="14" min="13" style="1" width="40"/>
  </cols>
  <sheetData>
    <row r="1" customFormat="false" ht="17.25" hidden="false" customHeight="true" outlineLevel="0" collapsed="false">
      <c r="A1" s="2" t="s">
        <v>360</v>
      </c>
    </row>
    <row r="2" customFormat="false" ht="15" hidden="false" customHeight="true" outlineLevel="0" collapsed="false">
      <c r="A2" s="3" t="s">
        <v>361</v>
      </c>
    </row>
    <row r="4" customFormat="false" ht="42" hidden="false" customHeight="true" outlineLevel="0" collapsed="false">
      <c r="A4" s="9" t="s">
        <v>31</v>
      </c>
      <c r="B4" s="9" t="s">
        <v>362</v>
      </c>
      <c r="C4" s="9" t="s">
        <v>363</v>
      </c>
      <c r="D4" s="9" t="s">
        <v>364</v>
      </c>
      <c r="E4" s="9" t="s">
        <v>365</v>
      </c>
      <c r="F4" s="9" t="s">
        <v>366</v>
      </c>
      <c r="G4" s="9" t="s">
        <v>367</v>
      </c>
      <c r="H4" s="9" t="s">
        <v>368</v>
      </c>
      <c r="I4" s="9" t="s">
        <v>369</v>
      </c>
      <c r="J4" s="9" t="s">
        <v>370</v>
      </c>
      <c r="K4" s="9" t="s">
        <v>371</v>
      </c>
      <c r="L4" s="9" t="s">
        <v>372</v>
      </c>
      <c r="M4" s="9" t="s">
        <v>373</v>
      </c>
      <c r="N4" s="9"/>
    </row>
    <row r="5" customFormat="false" ht="34.5" hidden="false" customHeight="true" outlineLevel="0" collapsed="false">
      <c r="A5" s="46" t="s">
        <v>51</v>
      </c>
      <c r="B5" s="47"/>
      <c r="C5" s="47"/>
      <c r="D5" s="48" t="str">
        <f aca="false">IFERROR(IF(AND(ISNUMBER(B5),ISNUMBER(C5)),(B5+C5)/IF(ISNUMBER(INDEX('G&amp;A_Screen'!$U$6:$U$26,MATCH(A5,'G&amp;A_Screen'!$A$6:$A$26,0))),INDEX('G&amp;A_Screen'!$U$6:$U$26,MATCH(A5,'G&amp;A_Screen'!$A$6:$A$26,0))*INDEX('G&amp;A_Screen'!$D$6:$D$26,MATCH(A5,'G&amp;A_Screen'!$A$6:$A$26,0)),INDEX('G&amp;A_Screen'!$E$6:$E$26,MATCH(A5,'G&amp;A_Screen'!$A$6:$A$26,0))),"n/a"),"n/a")</f>
        <v>n/a</v>
      </c>
      <c r="E5" s="47"/>
      <c r="F5" s="47"/>
      <c r="G5" s="47"/>
      <c r="H5" s="47"/>
      <c r="I5" s="47"/>
      <c r="J5" s="47"/>
      <c r="K5" s="47"/>
      <c r="L5" s="47"/>
      <c r="M5" s="22" t="s">
        <v>374</v>
      </c>
      <c r="N5" s="46"/>
    </row>
    <row r="6" customFormat="false" ht="90.75" hidden="false" customHeight="true" outlineLevel="0" collapsed="false">
      <c r="A6" s="46" t="s">
        <v>63</v>
      </c>
      <c r="B6" s="47"/>
      <c r="C6" s="47"/>
      <c r="D6" s="48" t="str">
        <f aca="false">IFERROR(IF(AND(ISNUMBER(B6),ISNUMBER(C6)),(B6+C6)/IF(ISNUMBER(INDEX('G&amp;A_Screen'!$U$6:$U$26,MATCH(A6,'G&amp;A_Screen'!$A$6:$A$26,0))),INDEX('G&amp;A_Screen'!$U$6:$U$26,MATCH(A6,'G&amp;A_Screen'!$A$6:$A$26,0))*INDEX('G&amp;A_Screen'!$D$6:$D$26,MATCH(A6,'G&amp;A_Screen'!$A$6:$A$26,0)),INDEX('G&amp;A_Screen'!$E$6:$E$26,MATCH(A6,'G&amp;A_Screen'!$A$6:$A$26,0))),"n/a"),"n/a")</f>
        <v>n/a</v>
      </c>
      <c r="E6" s="47"/>
      <c r="F6" s="47"/>
      <c r="G6" s="47"/>
      <c r="H6" s="47"/>
      <c r="I6" s="47"/>
      <c r="J6" s="47"/>
      <c r="K6" s="47"/>
      <c r="L6" s="47"/>
      <c r="M6" s="22" t="s">
        <v>375</v>
      </c>
      <c r="N6" s="46"/>
    </row>
    <row r="7" customFormat="false" ht="57" hidden="false" customHeight="true" outlineLevel="0" collapsed="false">
      <c r="A7" s="46" t="s">
        <v>71</v>
      </c>
      <c r="B7" s="22" t="n">
        <f aca="false">1.152*1.32</f>
        <v>1.52064</v>
      </c>
      <c r="C7" s="22" t="n">
        <f aca="false">0.48*1.32</f>
        <v>0.6336</v>
      </c>
      <c r="D7" s="48" t="n">
        <f aca="false">IFERROR(IF(AND(ISNUMBER(B7),ISNUMBER(C7)),(B7+C7)/IF(ISNUMBER(INDEX('G&amp;A_Screen'!$U$6:$U$26,MATCH(A7,'G&amp;A_Screen'!$A$6:$A$26,0))),INDEX('G&amp;A_Screen'!$U$6:$U$26,MATCH(A7,'G&amp;A_Screen'!$A$6:$A$26,0))*INDEX('G&amp;A_Screen'!$D$6:$D$26,MATCH(A7,'G&amp;A_Screen'!$A$6:$A$26,0)),INDEX('G&amp;A_Screen'!$E$6:$E$26,MATCH(A7,'G&amp;A_Screen'!$A$6:$A$26,0))),"n/a"),"n/a")</f>
        <v>0.0204927607922224</v>
      </c>
      <c r="E7" s="47"/>
      <c r="F7" s="47"/>
      <c r="G7" s="47"/>
      <c r="H7" s="47"/>
      <c r="I7" s="47"/>
      <c r="J7" s="47"/>
      <c r="K7" s="47"/>
      <c r="L7" s="47"/>
      <c r="M7" s="22" t="s">
        <v>376</v>
      </c>
      <c r="N7" s="46"/>
    </row>
    <row r="8" customFormat="false" ht="15" hidden="false" customHeight="true" outlineLevel="0" collapsed="false">
      <c r="A8" s="46" t="s">
        <v>81</v>
      </c>
      <c r="B8" s="47"/>
      <c r="C8" s="47"/>
      <c r="D8" s="48" t="str">
        <f aca="false">IFERROR(IF(AND(ISNUMBER(B8),ISNUMBER(C8)),(B8+C8)/IF(ISNUMBER(INDEX('G&amp;A_Screen'!$U$6:$U$26,MATCH(A8,'G&amp;A_Screen'!$A$6:$A$26,0))),INDEX('G&amp;A_Screen'!$U$6:$U$26,MATCH(A8,'G&amp;A_Screen'!$A$6:$A$26,0))*INDEX('G&amp;A_Screen'!$D$6:$D$26,MATCH(A8,'G&amp;A_Screen'!$A$6:$A$26,0)),INDEX('G&amp;A_Screen'!$E$6:$E$26,MATCH(A8,'G&amp;A_Screen'!$A$6:$A$26,0))),"n/a"),"n/a")</f>
        <v>n/a</v>
      </c>
      <c r="E8" s="47"/>
      <c r="F8" s="47"/>
      <c r="G8" s="47"/>
      <c r="H8" s="47"/>
      <c r="I8" s="47"/>
      <c r="J8" s="47"/>
      <c r="K8" s="47"/>
      <c r="L8" s="47"/>
      <c r="M8" s="22"/>
      <c r="N8" s="46"/>
    </row>
    <row r="9" customFormat="false" ht="23.25" hidden="false" customHeight="true" outlineLevel="0" collapsed="false">
      <c r="A9" s="46" t="s">
        <v>86</v>
      </c>
      <c r="B9" s="47"/>
      <c r="C9" s="47"/>
      <c r="D9" s="48" t="str">
        <f aca="false">IFERROR(IF(AND(ISNUMBER(B9),ISNUMBER(C9)),(B9+C9)/IF(ISNUMBER(INDEX('G&amp;A_Screen'!$U$6:$U$26,MATCH(A9,'G&amp;A_Screen'!$A$6:$A$26,0))),INDEX('G&amp;A_Screen'!$U$6:$U$26,MATCH(A9,'G&amp;A_Screen'!$A$6:$A$26,0))*INDEX('G&amp;A_Screen'!$D$6:$D$26,MATCH(A9,'G&amp;A_Screen'!$A$6:$A$26,0)),INDEX('G&amp;A_Screen'!$E$6:$E$26,MATCH(A9,'G&amp;A_Screen'!$A$6:$A$26,0))),"n/a"),"n/a")</f>
        <v>n/a</v>
      </c>
      <c r="E9" s="47"/>
      <c r="F9" s="47"/>
      <c r="G9" s="47"/>
      <c r="H9" s="47"/>
      <c r="I9" s="47"/>
      <c r="J9" s="47"/>
      <c r="K9" s="47"/>
      <c r="L9" s="47"/>
      <c r="M9" s="22" t="s">
        <v>377</v>
      </c>
      <c r="N9" s="46"/>
    </row>
    <row r="10" customFormat="false" ht="15" hidden="false" customHeight="true" outlineLevel="0" collapsed="false">
      <c r="A10" s="46" t="s">
        <v>93</v>
      </c>
      <c r="B10" s="47"/>
      <c r="C10" s="47"/>
      <c r="D10" s="48" t="str">
        <f aca="false">IFERROR(IF(AND(ISNUMBER(B10),ISNUMBER(C10)),(B10+C10)/IF(ISNUMBER(INDEX('G&amp;A_Screen'!$U$6:$U$26,MATCH(A10,'G&amp;A_Screen'!$A$6:$A$26,0))),INDEX('G&amp;A_Screen'!$U$6:$U$26,MATCH(A10,'G&amp;A_Screen'!$A$6:$A$26,0))*INDEX('G&amp;A_Screen'!$D$6:$D$26,MATCH(A10,'G&amp;A_Screen'!$A$6:$A$26,0)),INDEX('G&amp;A_Screen'!$E$6:$E$26,MATCH(A10,'G&amp;A_Screen'!$A$6:$A$26,0))),"n/a"),"n/a")</f>
        <v>n/a</v>
      </c>
      <c r="E10" s="47"/>
      <c r="F10" s="47"/>
      <c r="G10" s="47"/>
      <c r="H10" s="47"/>
      <c r="I10" s="47"/>
      <c r="J10" s="47"/>
      <c r="K10" s="47"/>
      <c r="L10" s="47"/>
      <c r="M10" s="22"/>
      <c r="N10" s="46"/>
    </row>
    <row r="11" customFormat="false" ht="34.5" hidden="false" customHeight="true" outlineLevel="0" collapsed="false">
      <c r="A11" s="46" t="s">
        <v>99</v>
      </c>
      <c r="B11" s="47"/>
      <c r="C11" s="47"/>
      <c r="D11" s="48" t="str">
        <f aca="false">IFERROR(IF(AND(ISNUMBER(B11),ISNUMBER(C11)),(B11+C11)/IF(ISNUMBER(INDEX('G&amp;A_Screen'!$U$6:$U$26,MATCH(A11,'G&amp;A_Screen'!$A$6:$A$26,0))),INDEX('G&amp;A_Screen'!$U$6:$U$26,MATCH(A11,'G&amp;A_Screen'!$A$6:$A$26,0))*INDEX('G&amp;A_Screen'!$D$6:$D$26,MATCH(A11,'G&amp;A_Screen'!$A$6:$A$26,0)),INDEX('G&amp;A_Screen'!$E$6:$E$26,MATCH(A11,'G&amp;A_Screen'!$A$6:$A$26,0))),"n/a"),"n/a")</f>
        <v>n/a</v>
      </c>
      <c r="E11" s="47"/>
      <c r="F11" s="47"/>
      <c r="G11" s="47"/>
      <c r="H11" s="47"/>
      <c r="I11" s="47"/>
      <c r="J11" s="47"/>
      <c r="K11" s="47"/>
      <c r="L11" s="47"/>
      <c r="M11" s="22" t="s">
        <v>378</v>
      </c>
      <c r="N11" s="46"/>
    </row>
    <row r="12" customFormat="false" ht="15" hidden="false" customHeight="true" outlineLevel="0" collapsed="false">
      <c r="A12" s="46" t="s">
        <v>106</v>
      </c>
      <c r="B12" s="47"/>
      <c r="C12" s="47"/>
      <c r="D12" s="48" t="str">
        <f aca="false">IFERROR(IF(AND(ISNUMBER(B12),ISNUMBER(C12)),(B12+C12)/IF(ISNUMBER(INDEX('G&amp;A_Screen'!$U$6:$U$26,MATCH(A12,'G&amp;A_Screen'!$A$6:$A$26,0))),INDEX('G&amp;A_Screen'!$U$6:$U$26,MATCH(A12,'G&amp;A_Screen'!$A$6:$A$26,0))*INDEX('G&amp;A_Screen'!$D$6:$D$26,MATCH(A12,'G&amp;A_Screen'!$A$6:$A$26,0)),INDEX('G&amp;A_Screen'!$E$6:$E$26,MATCH(A12,'G&amp;A_Screen'!$A$6:$A$26,0))),"n/a"),"n/a")</f>
        <v>n/a</v>
      </c>
      <c r="E12" s="47"/>
      <c r="F12" s="47"/>
      <c r="G12" s="47"/>
      <c r="H12" s="47"/>
      <c r="I12" s="47"/>
      <c r="J12" s="47"/>
      <c r="K12" s="47"/>
      <c r="L12" s="47"/>
      <c r="M12" s="22"/>
      <c r="N12" s="46"/>
    </row>
    <row r="13" customFormat="false" ht="34.5" hidden="false" customHeight="true" outlineLevel="0" collapsed="false">
      <c r="A13" s="46" t="s">
        <v>117</v>
      </c>
      <c r="B13" s="47"/>
      <c r="C13" s="47"/>
      <c r="D13" s="48" t="str">
        <f aca="false">IFERROR(IF(AND(ISNUMBER(B13),ISNUMBER(C13)),(B13+C13)/IF(ISNUMBER(INDEX('G&amp;A_Screen'!$U$6:$U$26,MATCH(A13,'G&amp;A_Screen'!$A$6:$A$26,0))),INDEX('G&amp;A_Screen'!$U$6:$U$26,MATCH(A13,'G&amp;A_Screen'!$A$6:$A$26,0))*INDEX('G&amp;A_Screen'!$D$6:$D$26,MATCH(A13,'G&amp;A_Screen'!$A$6:$A$26,0)),INDEX('G&amp;A_Screen'!$E$6:$E$26,MATCH(A13,'G&amp;A_Screen'!$A$6:$A$26,0))),"n/a"),"n/a")</f>
        <v>n/a</v>
      </c>
      <c r="E13" s="47"/>
      <c r="F13" s="47"/>
      <c r="G13" s="47"/>
      <c r="H13" s="47"/>
      <c r="I13" s="47"/>
      <c r="J13" s="47"/>
      <c r="K13" s="47"/>
      <c r="L13" s="47"/>
      <c r="M13" s="22" t="s">
        <v>379</v>
      </c>
      <c r="N13" s="46"/>
    </row>
    <row r="14" customFormat="false" ht="34.5" hidden="false" customHeight="true" outlineLevel="0" collapsed="false">
      <c r="A14" s="46" t="s">
        <v>126</v>
      </c>
      <c r="B14" s="47"/>
      <c r="C14" s="47"/>
      <c r="D14" s="48" t="str">
        <f aca="false">IFERROR(IF(AND(ISNUMBER(B14),ISNUMBER(C14)),(B14+C14)/IF(ISNUMBER(INDEX('G&amp;A_Screen'!$U$6:$U$26,MATCH(A14,'G&amp;A_Screen'!$A$6:$A$26,0))),INDEX('G&amp;A_Screen'!$U$6:$U$26,MATCH(A14,'G&amp;A_Screen'!$A$6:$A$26,0))*INDEX('G&amp;A_Screen'!$D$6:$D$26,MATCH(A14,'G&amp;A_Screen'!$A$6:$A$26,0)),INDEX('G&amp;A_Screen'!$E$6:$E$26,MATCH(A14,'G&amp;A_Screen'!$A$6:$A$26,0))),"n/a"),"n/a")</f>
        <v>n/a</v>
      </c>
      <c r="E14" s="47"/>
      <c r="F14" s="47"/>
      <c r="G14" s="47"/>
      <c r="H14" s="47"/>
      <c r="I14" s="47"/>
      <c r="J14" s="47"/>
      <c r="K14" s="47"/>
      <c r="L14" s="47"/>
      <c r="M14" s="22" t="s">
        <v>380</v>
      </c>
      <c r="N14" s="46"/>
    </row>
    <row r="15" customFormat="false" ht="15" hidden="false" customHeight="true" outlineLevel="0" collapsed="false">
      <c r="A15" s="46" t="s">
        <v>133</v>
      </c>
      <c r="B15" s="47"/>
      <c r="C15" s="47"/>
      <c r="D15" s="48" t="str">
        <f aca="false">IFERROR(IF(AND(ISNUMBER(B15),ISNUMBER(C15)),(B15+C15)/IF(ISNUMBER(INDEX('G&amp;A_Screen'!$U$6:$U$26,MATCH(A15,'G&amp;A_Screen'!$A$6:$A$26,0))),INDEX('G&amp;A_Screen'!$U$6:$U$26,MATCH(A15,'G&amp;A_Screen'!$A$6:$A$26,0))*INDEX('G&amp;A_Screen'!$D$6:$D$26,MATCH(A15,'G&amp;A_Screen'!$A$6:$A$26,0)),INDEX('G&amp;A_Screen'!$E$6:$E$26,MATCH(A15,'G&amp;A_Screen'!$A$6:$A$26,0))),"n/a"),"n/a")</f>
        <v>n/a</v>
      </c>
      <c r="E15" s="47"/>
      <c r="F15" s="47"/>
      <c r="G15" s="47"/>
      <c r="H15" s="47"/>
      <c r="I15" s="47"/>
      <c r="J15" s="47"/>
      <c r="K15" s="47"/>
      <c r="L15" s="47"/>
      <c r="M15" s="22"/>
      <c r="N15" s="46"/>
    </row>
    <row r="16" customFormat="false" ht="34.5" hidden="false" customHeight="true" outlineLevel="0" collapsed="false">
      <c r="A16" s="46" t="s">
        <v>139</v>
      </c>
      <c r="B16" s="22" t="n">
        <v>4.996</v>
      </c>
      <c r="C16" s="22" t="n">
        <f aca="false">6.167-4.996</f>
        <v>1.171</v>
      </c>
      <c r="D16" s="48" t="n">
        <f aca="false">IFERROR(IF(AND(ISNUMBER(B16),ISNUMBER(C16)),(B16+C16)/IF(ISNUMBER(INDEX('G&amp;A_Screen'!$U$6:$U$26,MATCH(A16,'G&amp;A_Screen'!$A$6:$A$26,0))),INDEX('G&amp;A_Screen'!$U$6:$U$26,MATCH(A16,'G&amp;A_Screen'!$A$6:$A$26,0))*INDEX('G&amp;A_Screen'!$D$6:$D$26,MATCH(A16,'G&amp;A_Screen'!$A$6:$A$26,0)),INDEX('G&amp;A_Screen'!$E$6:$E$26,MATCH(A16,'G&amp;A_Screen'!$A$6:$A$26,0))),"n/a"),"n/a")</f>
        <v>0.0380679012345679</v>
      </c>
      <c r="E16" s="47"/>
      <c r="F16" s="47"/>
      <c r="G16" s="47"/>
      <c r="H16" s="47"/>
      <c r="I16" s="47"/>
      <c r="J16" s="47"/>
      <c r="K16" s="47"/>
      <c r="L16" s="47"/>
      <c r="M16" s="22" t="s">
        <v>381</v>
      </c>
      <c r="N16" s="46"/>
    </row>
    <row r="17" customFormat="false" ht="15" hidden="false" customHeight="true" outlineLevel="0" collapsed="false">
      <c r="A17" s="46" t="s">
        <v>147</v>
      </c>
      <c r="B17" s="47"/>
      <c r="C17" s="47"/>
      <c r="D17" s="48" t="str">
        <f aca="false">IFERROR(IF(AND(ISNUMBER(B17),ISNUMBER(C17)),(B17+C17)/IF(ISNUMBER(INDEX('G&amp;A_Screen'!$U$6:$U$26,MATCH(A17,'G&amp;A_Screen'!$A$6:$A$26,0))),INDEX('G&amp;A_Screen'!$U$6:$U$26,MATCH(A17,'G&amp;A_Screen'!$A$6:$A$26,0))*INDEX('G&amp;A_Screen'!$D$6:$D$26,MATCH(A17,'G&amp;A_Screen'!$A$6:$A$26,0)),INDEX('G&amp;A_Screen'!$E$6:$E$26,MATCH(A17,'G&amp;A_Screen'!$A$6:$A$26,0))),"n/a"),"n/a")</f>
        <v>n/a</v>
      </c>
      <c r="E17" s="47"/>
      <c r="F17" s="47"/>
      <c r="G17" s="47"/>
      <c r="H17" s="47"/>
      <c r="I17" s="47"/>
      <c r="J17" s="47"/>
      <c r="K17" s="47"/>
      <c r="L17" s="47"/>
      <c r="M17" s="22"/>
      <c r="N17" s="46"/>
    </row>
    <row r="18" customFormat="false" ht="34.5" hidden="false" customHeight="true" outlineLevel="0" collapsed="false">
      <c r="A18" s="46" t="s">
        <v>157</v>
      </c>
      <c r="B18" s="47"/>
      <c r="C18" s="47"/>
      <c r="D18" s="48" t="str">
        <f aca="false">IFERROR(IF(AND(ISNUMBER(B18),ISNUMBER(C18)),(B18+C18)/IF(ISNUMBER(INDEX('G&amp;A_Screen'!$U$6:$U$26,MATCH(A18,'G&amp;A_Screen'!$A$6:$A$26,0))),INDEX('G&amp;A_Screen'!$U$6:$U$26,MATCH(A18,'G&amp;A_Screen'!$A$6:$A$26,0))*INDEX('G&amp;A_Screen'!$D$6:$D$26,MATCH(A18,'G&amp;A_Screen'!$A$6:$A$26,0)),INDEX('G&amp;A_Screen'!$E$6:$E$26,MATCH(A18,'G&amp;A_Screen'!$A$6:$A$26,0))),"n/a"),"n/a")</f>
        <v>n/a</v>
      </c>
      <c r="E18" s="47"/>
      <c r="F18" s="47"/>
      <c r="G18" s="47"/>
      <c r="H18" s="47"/>
      <c r="I18" s="47"/>
      <c r="J18" s="47"/>
      <c r="K18" s="47"/>
      <c r="L18" s="47"/>
      <c r="M18" s="22" t="s">
        <v>382</v>
      </c>
      <c r="N18" s="46"/>
    </row>
    <row r="19" customFormat="false" ht="23.25" hidden="false" customHeight="true" outlineLevel="0" collapsed="false">
      <c r="A19" s="46" t="s">
        <v>165</v>
      </c>
      <c r="B19" s="47"/>
      <c r="C19" s="47"/>
      <c r="D19" s="48" t="str">
        <f aca="false">IFERROR(IF(AND(ISNUMBER(B19),ISNUMBER(C19)),(B19+C19)/IF(ISNUMBER(INDEX('G&amp;A_Screen'!$U$6:$U$26,MATCH(A19,'G&amp;A_Screen'!$A$6:$A$26,0))),INDEX('G&amp;A_Screen'!$U$6:$U$26,MATCH(A19,'G&amp;A_Screen'!$A$6:$A$26,0))*INDEX('G&amp;A_Screen'!$D$6:$D$26,MATCH(A19,'G&amp;A_Screen'!$A$6:$A$26,0)),INDEX('G&amp;A_Screen'!$E$6:$E$26,MATCH(A19,'G&amp;A_Screen'!$A$6:$A$26,0))),"n/a"),"n/a")</f>
        <v>n/a</v>
      </c>
      <c r="E19" s="47"/>
      <c r="F19" s="47"/>
      <c r="G19" s="47"/>
      <c r="H19" s="47"/>
      <c r="I19" s="47"/>
      <c r="J19" s="47"/>
      <c r="K19" s="47"/>
      <c r="L19" s="47"/>
      <c r="M19" s="22" t="s">
        <v>383</v>
      </c>
      <c r="N19" s="46"/>
    </row>
    <row r="20" customFormat="false" ht="15" hidden="false" customHeight="true" outlineLevel="0" collapsed="false">
      <c r="A20" s="46" t="s">
        <v>173</v>
      </c>
      <c r="B20" s="47"/>
      <c r="C20" s="47"/>
      <c r="D20" s="48" t="str">
        <f aca="false">IFERROR(IF(AND(ISNUMBER(B20),ISNUMBER(C20)),(B20+C20)/IF(ISNUMBER(INDEX('G&amp;A_Screen'!$U$6:$U$26,MATCH(A20,'G&amp;A_Screen'!$A$6:$A$26,0))),INDEX('G&amp;A_Screen'!$U$6:$U$26,MATCH(A20,'G&amp;A_Screen'!$A$6:$A$26,0))*INDEX('G&amp;A_Screen'!$D$6:$D$26,MATCH(A20,'G&amp;A_Screen'!$A$6:$A$26,0)),INDEX('G&amp;A_Screen'!$E$6:$E$26,MATCH(A20,'G&amp;A_Screen'!$A$6:$A$26,0))),"n/a"),"n/a")</f>
        <v>n/a</v>
      </c>
      <c r="E20" s="47"/>
      <c r="F20" s="47"/>
      <c r="G20" s="47"/>
      <c r="H20" s="47"/>
      <c r="I20" s="47"/>
      <c r="J20" s="47"/>
      <c r="K20" s="47"/>
      <c r="L20" s="47"/>
      <c r="M20" s="22"/>
      <c r="N20" s="46"/>
    </row>
    <row r="21" customFormat="false" ht="15" hidden="false" customHeight="true" outlineLevel="0" collapsed="false">
      <c r="A21" s="46" t="s">
        <v>182</v>
      </c>
      <c r="B21" s="47"/>
      <c r="C21" s="47"/>
      <c r="D21" s="48" t="str">
        <f aca="false">IFERROR(IF(AND(ISNUMBER(B21),ISNUMBER(C21)),(B21+C21)/IF(ISNUMBER(INDEX('G&amp;A_Screen'!$U$6:$U$26,MATCH(A21,'G&amp;A_Screen'!$A$6:$A$26,0))),INDEX('G&amp;A_Screen'!$U$6:$U$26,MATCH(A21,'G&amp;A_Screen'!$A$6:$A$26,0))*INDEX('G&amp;A_Screen'!$D$6:$D$26,MATCH(A21,'G&amp;A_Screen'!$A$6:$A$26,0)),INDEX('G&amp;A_Screen'!$E$6:$E$26,MATCH(A21,'G&amp;A_Screen'!$A$6:$A$26,0))),"n/a"),"n/a")</f>
        <v>n/a</v>
      </c>
      <c r="E21" s="47"/>
      <c r="F21" s="47"/>
      <c r="G21" s="47"/>
      <c r="H21" s="47"/>
      <c r="I21" s="47"/>
      <c r="J21" s="47"/>
      <c r="K21" s="47"/>
      <c r="L21" s="47"/>
      <c r="M21" s="22"/>
      <c r="N21" s="46"/>
    </row>
    <row r="22" customFormat="false" ht="15" hidden="false" customHeight="true" outlineLevel="0" collapsed="false">
      <c r="A22" s="46" t="s">
        <v>191</v>
      </c>
      <c r="B22" s="47"/>
      <c r="C22" s="47"/>
      <c r="D22" s="48" t="str">
        <f aca="false">IFERROR(IF(AND(ISNUMBER(B22),ISNUMBER(C22)),(B22+C22)/IF(ISNUMBER(INDEX('G&amp;A_Screen'!$U$6:$U$26,MATCH(A22,'G&amp;A_Screen'!$A$6:$A$26,0))),INDEX('G&amp;A_Screen'!$U$6:$U$26,MATCH(A22,'G&amp;A_Screen'!$A$6:$A$26,0))*INDEX('G&amp;A_Screen'!$D$6:$D$26,MATCH(A22,'G&amp;A_Screen'!$A$6:$A$26,0)),INDEX('G&amp;A_Screen'!$E$6:$E$26,MATCH(A22,'G&amp;A_Screen'!$A$6:$A$26,0))),"n/a"),"n/a")</f>
        <v>n/a</v>
      </c>
      <c r="E22" s="47"/>
      <c r="F22" s="47"/>
      <c r="G22" s="47"/>
      <c r="H22" s="47"/>
      <c r="I22" s="47"/>
      <c r="J22" s="47"/>
      <c r="K22" s="47"/>
      <c r="L22" s="47"/>
      <c r="M22" s="22"/>
      <c r="N22" s="46"/>
    </row>
    <row r="23" customFormat="false" ht="23.25" hidden="false" customHeight="true" outlineLevel="0" collapsed="false">
      <c r="A23" s="46" t="s">
        <v>199</v>
      </c>
      <c r="B23" s="22" t="n">
        <v>5.39</v>
      </c>
      <c r="C23" s="22" t="n">
        <v>0</v>
      </c>
      <c r="D23" s="48" t="n">
        <f aca="false">IFERROR(IF(AND(ISNUMBER(B23),ISNUMBER(C23)),(B23+C23)/IF(ISNUMBER(INDEX('G&amp;A_Screen'!$U$6:$U$26,MATCH(A23,'G&amp;A_Screen'!$A$6:$A$26,0))),INDEX('G&amp;A_Screen'!$U$6:$U$26,MATCH(A23,'G&amp;A_Screen'!$A$6:$A$26,0))*INDEX('G&amp;A_Screen'!$D$6:$D$26,MATCH(A23,'G&amp;A_Screen'!$A$6:$A$26,0)),INDEX('G&amp;A_Screen'!$E$6:$E$26,MATCH(A23,'G&amp;A_Screen'!$A$6:$A$26,0))),"n/a"),"n/a")</f>
        <v>0.45142378559464</v>
      </c>
      <c r="E23" s="47"/>
      <c r="F23" s="47"/>
      <c r="G23" s="47"/>
      <c r="H23" s="47"/>
      <c r="I23" s="47"/>
      <c r="J23" s="47"/>
      <c r="K23" s="47"/>
      <c r="L23" s="47"/>
      <c r="M23" s="22" t="s">
        <v>384</v>
      </c>
      <c r="N23" s="46"/>
    </row>
    <row r="24" customFormat="false" ht="15" hidden="false" customHeight="true" outlineLevel="0" collapsed="false">
      <c r="A24" s="46" t="s">
        <v>206</v>
      </c>
      <c r="B24" s="47"/>
      <c r="C24" s="47"/>
      <c r="D24" s="48" t="str">
        <f aca="false">IFERROR(IF(AND(ISNUMBER(B24),ISNUMBER(C24)),(B24+C24)/IF(ISNUMBER(INDEX('G&amp;A_Screen'!$U$6:$U$26,MATCH(A24,'G&amp;A_Screen'!$A$6:$A$26,0))),INDEX('G&amp;A_Screen'!$U$6:$U$26,MATCH(A24,'G&amp;A_Screen'!$A$6:$A$26,0))*INDEX('G&amp;A_Screen'!$D$6:$D$26,MATCH(A24,'G&amp;A_Screen'!$A$6:$A$26,0)),INDEX('G&amp;A_Screen'!$E$6:$E$26,MATCH(A24,'G&amp;A_Screen'!$A$6:$A$26,0))),"n/a"),"n/a")</f>
        <v>n/a</v>
      </c>
      <c r="E24" s="47"/>
      <c r="F24" s="47"/>
      <c r="G24" s="47"/>
      <c r="H24" s="47"/>
      <c r="I24" s="47"/>
      <c r="J24" s="47"/>
      <c r="K24" s="47"/>
      <c r="L24" s="47"/>
      <c r="M24" s="22"/>
      <c r="N24" s="46"/>
    </row>
    <row r="25" customFormat="false" ht="34.5" hidden="false" customHeight="true" outlineLevel="0" collapsed="false">
      <c r="A25" s="46" t="s">
        <v>217</v>
      </c>
      <c r="B25" s="47"/>
      <c r="C25" s="47"/>
      <c r="D25" s="48" t="str">
        <f aca="false">IFERROR(IF(AND(ISNUMBER(B25),ISNUMBER(C25)),(B25+C25)/IF(ISNUMBER(INDEX('G&amp;A_Screen'!$U$6:$U$26,MATCH(A25,'G&amp;A_Screen'!$A$6:$A$26,0))),INDEX('G&amp;A_Screen'!$U$6:$U$26,MATCH(A25,'G&amp;A_Screen'!$A$6:$A$26,0))*INDEX('G&amp;A_Screen'!$D$6:$D$26,MATCH(A25,'G&amp;A_Screen'!$A$6:$A$26,0)),INDEX('G&amp;A_Screen'!$E$6:$E$26,MATCH(A25,'G&amp;A_Screen'!$A$6:$A$26,0))),"n/a"),"n/a")</f>
        <v>n/a</v>
      </c>
      <c r="E25" s="47"/>
      <c r="F25" s="47"/>
      <c r="G25" s="47"/>
      <c r="H25" s="47"/>
      <c r="I25" s="47"/>
      <c r="J25" s="47"/>
      <c r="K25" s="47"/>
      <c r="L25" s="47"/>
      <c r="M25" s="22" t="s">
        <v>385</v>
      </c>
      <c r="N25" s="4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5" min="2" style="1" width="11"/>
    <col collapsed="false" customWidth="true" hidden="false" outlineLevel="0" max="6" min="6" style="1" width="10"/>
    <col collapsed="false" customWidth="true" hidden="false" outlineLevel="0" max="13" min="7" style="1" width="11"/>
    <col collapsed="false" customWidth="true" hidden="false" outlineLevel="0" max="14" min="14" style="1" width="10"/>
    <col collapsed="false" customWidth="true" hidden="false" outlineLevel="0" max="15" min="15" style="1" width="12"/>
    <col collapsed="false" customWidth="true" hidden="false" outlineLevel="0" max="16" min="16" style="1" width="13"/>
    <col collapsed="false" customWidth="true" hidden="false" outlineLevel="0" max="17" min="17" style="1" width="11"/>
    <col collapsed="false" customWidth="true" hidden="false" outlineLevel="0" max="18" min="18" style="1" width="40"/>
  </cols>
  <sheetData>
    <row r="1" customFormat="false" ht="17.25" hidden="false" customHeight="true" outlineLevel="0" collapsed="false">
      <c r="A1" s="2" t="s">
        <v>386</v>
      </c>
    </row>
    <row r="2" customFormat="false" ht="15" hidden="false" customHeight="true" outlineLevel="0" collapsed="false">
      <c r="A2" s="3" t="s">
        <v>387</v>
      </c>
    </row>
    <row r="4" customFormat="false" ht="15" hidden="false" customHeight="true" outlineLevel="0" collapsed="false">
      <c r="A4" s="4" t="s">
        <v>388</v>
      </c>
      <c r="C4" s="49" t="n">
        <f aca="false">'G&amp;A_Screen'!W28</f>
        <v>2.83221777702374</v>
      </c>
      <c r="D4" s="3" t="s">
        <v>389</v>
      </c>
    </row>
    <row r="5" customFormat="false" ht="15" hidden="false" customHeight="true" outlineLevel="0" collapsed="false">
      <c r="A5" s="4" t="s">
        <v>390</v>
      </c>
      <c r="C5" s="50" t="n">
        <v>0.25</v>
      </c>
      <c r="D5" s="3"/>
    </row>
    <row r="6" customFormat="false" ht="15" hidden="false" customHeight="true" outlineLevel="0" collapsed="false">
      <c r="A6" s="4" t="s">
        <v>391</v>
      </c>
      <c r="C6" s="50" t="n">
        <v>0.5</v>
      </c>
      <c r="D6" s="3"/>
    </row>
    <row r="7" customFormat="false" ht="15" hidden="false" customHeight="true" outlineLevel="0" collapsed="false">
      <c r="A7" s="4" t="s">
        <v>392</v>
      </c>
      <c r="C7" s="50" t="n">
        <v>0.75</v>
      </c>
      <c r="D7" s="3"/>
    </row>
    <row r="8" customFormat="false" ht="15" hidden="false" customHeight="true" outlineLevel="0" collapsed="false">
      <c r="A8" s="4" t="s">
        <v>393</v>
      </c>
      <c r="C8" s="33" t="n">
        <v>4</v>
      </c>
      <c r="D8" s="3" t="s">
        <v>394</v>
      </c>
    </row>
    <row r="9" customFormat="false" ht="15" hidden="false" customHeight="true" outlineLevel="0" collapsed="false">
      <c r="A9" s="4" t="s">
        <v>395</v>
      </c>
      <c r="C9" s="33" t="n">
        <v>1</v>
      </c>
      <c r="D9" s="3" t="s">
        <v>396</v>
      </c>
    </row>
    <row r="10" customFormat="false" ht="15" hidden="false" customHeight="true" outlineLevel="0" collapsed="false">
      <c r="A10" s="4" t="s">
        <v>397</v>
      </c>
      <c r="C10" s="51" t="n">
        <v>1.33</v>
      </c>
      <c r="D10" s="3" t="s">
        <v>398</v>
      </c>
    </row>
    <row r="13" customFormat="false" ht="42" hidden="false" customHeight="true" outlineLevel="0" collapsed="false">
      <c r="A13" s="9" t="s">
        <v>31</v>
      </c>
      <c r="B13" s="9" t="s">
        <v>334</v>
      </c>
      <c r="C13" s="9" t="s">
        <v>399</v>
      </c>
      <c r="D13" s="9" t="s">
        <v>400</v>
      </c>
      <c r="E13" s="9" t="s">
        <v>401</v>
      </c>
      <c r="F13" s="9" t="s">
        <v>402</v>
      </c>
      <c r="G13" s="9" t="s">
        <v>403</v>
      </c>
      <c r="H13" s="9" t="s">
        <v>404</v>
      </c>
      <c r="I13" s="9" t="s">
        <v>405</v>
      </c>
      <c r="J13" s="9" t="s">
        <v>406</v>
      </c>
      <c r="K13" s="9" t="s">
        <v>407</v>
      </c>
      <c r="L13" s="9" t="s">
        <v>408</v>
      </c>
      <c r="M13" s="9" t="s">
        <v>409</v>
      </c>
      <c r="N13" s="9" t="s">
        <v>410</v>
      </c>
      <c r="O13" s="9" t="s">
        <v>411</v>
      </c>
      <c r="P13" s="9" t="s">
        <v>412</v>
      </c>
      <c r="Q13" s="9" t="s">
        <v>413</v>
      </c>
      <c r="R13" s="9" t="s">
        <v>414</v>
      </c>
    </row>
    <row r="14" customFormat="false" ht="15" hidden="false" customHeight="true" outlineLevel="0" collapsed="false">
      <c r="A14" s="29" t="str">
        <f aca="false">'G&amp;A_Screen'!A6</f>
        <v>Harbour Energy</v>
      </c>
      <c r="B14" s="30" t="n">
        <f aca="false">'G&amp;A_Screen'!D6</f>
        <v>173.01</v>
      </c>
      <c r="C14" s="30" t="n">
        <f aca="false">'G&amp;A_Screen'!F6</f>
        <v>414</v>
      </c>
      <c r="D14" s="52" t="n">
        <f aca="false">IF(ISNUMBER(B14),$C$4*B14,"n/a")</f>
        <v>490.001997602877</v>
      </c>
      <c r="E14" s="52" t="n">
        <f aca="false">IF(AND(ISNUMBER(C14),ISNUMBER(D14)),MAX(0,C14-D14),"n/a")</f>
        <v>0</v>
      </c>
      <c r="F14" s="53" t="n">
        <f aca="false">INDEX(Normalisation!$I$5:$I$25,MATCH(A14,Normalisation!$A$5:$A$25,0))</f>
        <v>0.4</v>
      </c>
      <c r="G14" s="26"/>
      <c r="H14" s="52" t="str">
        <f aca="false">IF(ISNUMBER(G14),G14*$C$10,"n/a")</f>
        <v>n/a</v>
      </c>
      <c r="I14" s="30" t="n">
        <f aca="false">IFERROR(INDEX(Raw_Data!$N$5:$N$46,MATCH(A14&amp;"|"&amp;'G&amp;A_Screen'!$C$3,Raw_Data!$A$5:$A$46,0)),"n/a")</f>
        <v>7196</v>
      </c>
      <c r="J14" s="52" t="n">
        <f aca="false">IF(ISNUMBER(E14),E14*$C$5,"n/a")</f>
        <v>0</v>
      </c>
      <c r="K14" s="52" t="n">
        <f aca="false">IF(ISNUMBER(E14),E14*$C$6,"n/a")</f>
        <v>0</v>
      </c>
      <c r="L14" s="52" t="n">
        <f aca="false">IF(ISNUMBER(E14),E14*$C$7,"n/a")</f>
        <v>0</v>
      </c>
      <c r="M14" s="52" t="n">
        <f aca="false">IF(ISNUMBER(K14),K14*(1-F14),"n/a")</f>
        <v>0</v>
      </c>
      <c r="N14" s="54" t="n">
        <f aca="false">IF(AND(ISNUMBER(K14),ISNUMBER(I14)),K14/I14,"n/a")</f>
        <v>0</v>
      </c>
      <c r="O14" s="52" t="n">
        <f aca="false">IF(ISNUMBER(K14),K14*$C$9,"n/a")</f>
        <v>0</v>
      </c>
      <c r="P14" s="52" t="n">
        <f aca="false">IF(ISNUMBER(M14),M14*$C$8-O14*(1-F14),"n/a")</f>
        <v>0</v>
      </c>
      <c r="Q14" s="54" t="str">
        <f aca="false">IF(AND(ISNUMBER(P14),ISNUMBER(H14)),P14/H14,"enter market cap")</f>
        <v>enter market cap</v>
      </c>
      <c r="R14" s="55" t="str">
        <f aca="false">IF('G&amp;A_Screen'!V6="N","Excluded from ranking — partial G&amp;A line",IF(NOT(ISNUMBER(E14)),"Data gap",IF(E14=0,"At or below benchmark",IF(F14&gt;=0.7,"Mostly absorbed by UK tax — weak activism case",IF(ISNUMBER(Q14),IF(Q14&gt;0.1,"Material vs market cap — shortlist","Immaterial vs market cap"),"Needs market cap")))))</f>
        <v>At or below benchmark</v>
      </c>
    </row>
    <row r="15" customFormat="false" ht="15" hidden="false" customHeight="true" outlineLevel="0" collapsed="false">
      <c r="A15" s="29" t="str">
        <f aca="false">'G&amp;A_Screen'!A7</f>
        <v>Gran Tierra Energy</v>
      </c>
      <c r="B15" s="30" t="n">
        <f aca="false">'G&amp;A_Screen'!D7</f>
        <v>16.683785</v>
      </c>
      <c r="C15" s="30" t="n">
        <f aca="false">'G&amp;A_Screen'!F7</f>
        <v>56.873</v>
      </c>
      <c r="D15" s="52" t="n">
        <f aca="false">IF(ISNUMBER(B15),$C$4*B15,"n/a")</f>
        <v>47.252112465042</v>
      </c>
      <c r="E15" s="52" t="n">
        <f aca="false">IF(AND(ISNUMBER(C15),ISNUMBER(D15)),MAX(0,C15-D15),"n/a")</f>
        <v>9.62088753495806</v>
      </c>
      <c r="F15" s="53" t="n">
        <f aca="false">INDEX(Normalisation!$I$5:$I$25,MATCH(A15,Normalisation!$A$5:$A$25,0))</f>
        <v>0.25</v>
      </c>
      <c r="G15" s="26"/>
      <c r="H15" s="52" t="str">
        <f aca="false">IF(ISNUMBER(G15),G15*$C$10,"n/a")</f>
        <v>n/a</v>
      </c>
      <c r="I15" s="30" t="n">
        <f aca="false">IFERROR(INDEX(Raw_Data!$N$5:$N$46,MATCH(A15&amp;"|"&amp;'G&amp;A_Screen'!$C$3,Raw_Data!$A$5:$A$46,0)),"n/a")</f>
        <v>283.656</v>
      </c>
      <c r="J15" s="52" t="n">
        <f aca="false">IF(ISNUMBER(E15),E15*$C$5,"n/a")</f>
        <v>2.40522188373951</v>
      </c>
      <c r="K15" s="52" t="n">
        <f aca="false">IF(ISNUMBER(E15),E15*$C$6,"n/a")</f>
        <v>4.81044376747903</v>
      </c>
      <c r="L15" s="52" t="n">
        <f aca="false">IF(ISNUMBER(E15),E15*$C$7,"n/a")</f>
        <v>7.21566565121854</v>
      </c>
      <c r="M15" s="52" t="n">
        <f aca="false">IF(ISNUMBER(K15),K15*(1-F15),"n/a")</f>
        <v>3.60783282560927</v>
      </c>
      <c r="N15" s="54" t="n">
        <f aca="false">IF(AND(ISNUMBER(K15),ISNUMBER(I15)),K15/I15,"n/a")</f>
        <v>0.0169587238326671</v>
      </c>
      <c r="O15" s="52" t="n">
        <f aca="false">IF(ISNUMBER(K15),K15*$C$9,"n/a")</f>
        <v>4.81044376747903</v>
      </c>
      <c r="P15" s="52" t="n">
        <f aca="false">IF(ISNUMBER(M15),M15*$C$8-O15*(1-F15),"n/a")</f>
        <v>10.8234984768278</v>
      </c>
      <c r="Q15" s="54" t="str">
        <f aca="false">IF(AND(ISNUMBER(P15),ISNUMBER(H15)),P15/H15,"enter market cap")</f>
        <v>enter market cap</v>
      </c>
      <c r="R15" s="55" t="str">
        <f aca="false">IF('G&amp;A_Screen'!V7="N","Excluded from ranking — partial G&amp;A line",IF(NOT(ISNUMBER(E15)),"Data gap",IF(E15=0,"At or below benchmark",IF(F15&gt;=0.7,"Mostly absorbed by UK tax — weak activism case",IF(ISNUMBER(Q15),IF(Q15&gt;0.1,"Material vs market cap — shortlist","Immaterial vs market cap"),"Needs market cap")))))</f>
        <v>Needs market cap</v>
      </c>
    </row>
    <row r="16" customFormat="false" ht="15" hidden="false" customHeight="true" outlineLevel="0" collapsed="false">
      <c r="A16" s="29" t="str">
        <f aca="false">'G&amp;A_Screen'!A8</f>
        <v>EnQuest</v>
      </c>
      <c r="B16" s="30" t="n">
        <f aca="false">'G&amp;A_Screen'!D8</f>
        <v>15.674925</v>
      </c>
      <c r="C16" s="30" t="n">
        <f aca="false">'G&amp;A_Screen'!F8</f>
        <v>7.482</v>
      </c>
      <c r="D16" s="52" t="n">
        <f aca="false">IF(ISNUMBER(B16),$C$4*B16,"n/a")</f>
        <v>44.3948012385138</v>
      </c>
      <c r="E16" s="52" t="n">
        <f aca="false">IF(AND(ISNUMBER(C16),ISNUMBER(D16)),MAX(0,C16-D16),"n/a")</f>
        <v>0</v>
      </c>
      <c r="F16" s="53" t="n">
        <f aca="false">INDEX(Normalisation!$I$5:$I$25,MATCH(A16,Normalisation!$A$5:$A$25,0))</f>
        <v>0.78</v>
      </c>
      <c r="G16" s="26"/>
      <c r="H16" s="52" t="str">
        <f aca="false">IF(ISNUMBER(G16),G16*$C$10,"n/a")</f>
        <v>n/a</v>
      </c>
      <c r="I16" s="30" t="n">
        <f aca="false">IFERROR(INDEX(Raw_Data!$N$5:$N$46,MATCH(A16&amp;"|"&amp;'G&amp;A_Screen'!$C$3,Raw_Data!$A$5:$A$46,0)),"n/a")</f>
        <v>503.8</v>
      </c>
      <c r="J16" s="52" t="n">
        <f aca="false">IF(ISNUMBER(E16),E16*$C$5,"n/a")</f>
        <v>0</v>
      </c>
      <c r="K16" s="52" t="n">
        <f aca="false">IF(ISNUMBER(E16),E16*$C$6,"n/a")</f>
        <v>0</v>
      </c>
      <c r="L16" s="52" t="n">
        <f aca="false">IF(ISNUMBER(E16),E16*$C$7,"n/a")</f>
        <v>0</v>
      </c>
      <c r="M16" s="52" t="n">
        <f aca="false">IF(ISNUMBER(K16),K16*(1-F16),"n/a")</f>
        <v>0</v>
      </c>
      <c r="N16" s="54" t="n">
        <f aca="false">IF(AND(ISNUMBER(K16),ISNUMBER(I16)),K16/I16,"n/a")</f>
        <v>0</v>
      </c>
      <c r="O16" s="52" t="n">
        <f aca="false">IF(ISNUMBER(K16),K16*$C$9,"n/a")</f>
        <v>0</v>
      </c>
      <c r="P16" s="52" t="n">
        <f aca="false">IF(ISNUMBER(M16),M16*$C$8-O16*(1-F16),"n/a")</f>
        <v>0</v>
      </c>
      <c r="Q16" s="54" t="str">
        <f aca="false">IF(AND(ISNUMBER(P16),ISNUMBER(H16)),P16/H16,"enter market cap")</f>
        <v>enter market cap</v>
      </c>
      <c r="R16" s="55" t="str">
        <f aca="false">IF('G&amp;A_Screen'!V8="N","Excluded from ranking — partial G&amp;A line",IF(NOT(ISNUMBER(E16)),"Data gap",IF(E16=0,"At or below benchmark",IF(F16&gt;=0.7,"Mostly absorbed by UK tax — weak activism case",IF(ISNUMBER(Q16),IF(Q16&gt;0.1,"Material vs market cap — shortlist","Immaterial vs market cap"),"Needs market cap")))))</f>
        <v>At or below benchmark</v>
      </c>
    </row>
    <row r="17" customFormat="false" ht="15" hidden="false" customHeight="true" outlineLevel="0" collapsed="false">
      <c r="A17" s="29" t="str">
        <f aca="false">'G&amp;A_Screen'!A9</f>
        <v>Serica Energy</v>
      </c>
      <c r="B17" s="30" t="n">
        <f aca="false">'G&amp;A_Screen'!D9</f>
        <v>10.074</v>
      </c>
      <c r="C17" s="30" t="n">
        <f aca="false">'G&amp;A_Screen'!F9</f>
        <v>19.552</v>
      </c>
      <c r="D17" s="52" t="n">
        <f aca="false">IF(ISNUMBER(B17),$C$4*B17,"n/a")</f>
        <v>28.5317618857371</v>
      </c>
      <c r="E17" s="52" t="n">
        <f aca="false">IF(AND(ISNUMBER(C17),ISNUMBER(D17)),MAX(0,C17-D17),"n/a")</f>
        <v>0</v>
      </c>
      <c r="F17" s="53" t="n">
        <f aca="false">INDEX(Normalisation!$I$5:$I$25,MATCH(A17,Normalisation!$A$5:$A$25,0))</f>
        <v>0.78</v>
      </c>
      <c r="G17" s="26"/>
      <c r="H17" s="52" t="str">
        <f aca="false">IF(ISNUMBER(G17),G17*$C$10,"n/a")</f>
        <v>n/a</v>
      </c>
      <c r="I17" s="30" t="n">
        <f aca="false">IFERROR(INDEX(Raw_Data!$N$5:$N$46,MATCH(A17&amp;"|"&amp;'G&amp;A_Screen'!$C$3,Raw_Data!$A$5:$A$46,0)),"n/a")</f>
        <v>210</v>
      </c>
      <c r="J17" s="52" t="n">
        <f aca="false">IF(ISNUMBER(E17),E17*$C$5,"n/a")</f>
        <v>0</v>
      </c>
      <c r="K17" s="52" t="n">
        <f aca="false">IF(ISNUMBER(E17),E17*$C$6,"n/a")</f>
        <v>0</v>
      </c>
      <c r="L17" s="52" t="n">
        <f aca="false">IF(ISNUMBER(E17),E17*$C$7,"n/a")</f>
        <v>0</v>
      </c>
      <c r="M17" s="52" t="n">
        <f aca="false">IF(ISNUMBER(K17),K17*(1-F17),"n/a")</f>
        <v>0</v>
      </c>
      <c r="N17" s="54" t="n">
        <f aca="false">IF(AND(ISNUMBER(K17),ISNUMBER(I17)),K17/I17,"n/a")</f>
        <v>0</v>
      </c>
      <c r="O17" s="52" t="n">
        <f aca="false">IF(ISNUMBER(K17),K17*$C$9,"n/a")</f>
        <v>0</v>
      </c>
      <c r="P17" s="52" t="n">
        <f aca="false">IF(ISNUMBER(M17),M17*$C$8-O17*(1-F17),"n/a")</f>
        <v>0</v>
      </c>
      <c r="Q17" s="54" t="str">
        <f aca="false">IF(AND(ISNUMBER(P17),ISNUMBER(H17)),P17/H17,"enter market cap")</f>
        <v>enter market cap</v>
      </c>
      <c r="R17" s="55" t="str">
        <f aca="false">IF('G&amp;A_Screen'!V9="N","Excluded from ranking — partial G&amp;A line",IF(NOT(ISNUMBER(E17)),"Data gap",IF(E17=0,"At or below benchmark",IF(F17&gt;=0.7,"Mostly absorbed by UK tax — weak activism case",IF(ISNUMBER(Q17),IF(Q17&gt;0.1,"Material vs market cap — shortlist","Immaterial vs market cap"),"Needs market cap")))))</f>
        <v>At or below benchmark</v>
      </c>
    </row>
    <row r="18" customFormat="false" ht="15" hidden="false" customHeight="true" outlineLevel="0" collapsed="false">
      <c r="A18" s="29" t="str">
        <f aca="false">'G&amp;A_Screen'!A10</f>
        <v>Ithaca Energy</v>
      </c>
      <c r="B18" s="30" t="n">
        <f aca="false">'G&amp;A_Screen'!D10</f>
        <v>43.435</v>
      </c>
      <c r="C18" s="30" t="n">
        <f aca="false">'G&amp;A_Screen'!F10</f>
        <v>36.1</v>
      </c>
      <c r="D18" s="52" t="n">
        <f aca="false">IF(ISNUMBER(B18),$C$4*B18,"n/a")</f>
        <v>123.017379145026</v>
      </c>
      <c r="E18" s="52" t="n">
        <f aca="false">IF(AND(ISNUMBER(C18),ISNUMBER(D18)),MAX(0,C18-D18),"n/a")</f>
        <v>0</v>
      </c>
      <c r="F18" s="53" t="n">
        <f aca="false">INDEX(Normalisation!$I$5:$I$25,MATCH(A18,Normalisation!$A$5:$A$25,0))</f>
        <v>0.78</v>
      </c>
      <c r="G18" s="26"/>
      <c r="H18" s="52" t="str">
        <f aca="false">IF(ISNUMBER(G18),G18*$C$10,"n/a")</f>
        <v>n/a</v>
      </c>
      <c r="I18" s="30" t="n">
        <f aca="false">IFERROR(INDEX(Raw_Data!$N$5:$N$46,MATCH(A18&amp;"|"&amp;'G&amp;A_Screen'!$C$3,Raw_Data!$A$5:$A$46,0)),"n/a")</f>
        <v>2030.8</v>
      </c>
      <c r="J18" s="52" t="n">
        <f aca="false">IF(ISNUMBER(E18),E18*$C$5,"n/a")</f>
        <v>0</v>
      </c>
      <c r="K18" s="52" t="n">
        <f aca="false">IF(ISNUMBER(E18),E18*$C$6,"n/a")</f>
        <v>0</v>
      </c>
      <c r="L18" s="52" t="n">
        <f aca="false">IF(ISNUMBER(E18),E18*$C$7,"n/a")</f>
        <v>0</v>
      </c>
      <c r="M18" s="52" t="n">
        <f aca="false">IF(ISNUMBER(K18),K18*(1-F18),"n/a")</f>
        <v>0</v>
      </c>
      <c r="N18" s="54" t="n">
        <f aca="false">IF(AND(ISNUMBER(K18),ISNUMBER(I18)),K18/I18,"n/a")</f>
        <v>0</v>
      </c>
      <c r="O18" s="52" t="n">
        <f aca="false">IF(ISNUMBER(K18),K18*$C$9,"n/a")</f>
        <v>0</v>
      </c>
      <c r="P18" s="52" t="n">
        <f aca="false">IF(ISNUMBER(M18),M18*$C$8-O18*(1-F18),"n/a")</f>
        <v>0</v>
      </c>
      <c r="Q18" s="54" t="str">
        <f aca="false">IF(AND(ISNUMBER(P18),ISNUMBER(H18)),P18/H18,"enter market cap")</f>
        <v>enter market cap</v>
      </c>
      <c r="R18" s="55" t="str">
        <f aca="false">IF('G&amp;A_Screen'!V10="N","Excluded from ranking — partial G&amp;A line",IF(NOT(ISNUMBER(E18)),"Data gap",IF(E18=0,"At or below benchmark",IF(F18&gt;=0.7,"Mostly absorbed by UK tax — weak activism case",IF(ISNUMBER(Q18),IF(Q18&gt;0.1,"Material vs market cap — shortlist","Immaterial vs market cap"),"Needs market cap")))))</f>
        <v>At or below benchmark</v>
      </c>
    </row>
    <row r="19" customFormat="false" ht="15" hidden="false" customHeight="true" outlineLevel="0" collapsed="false">
      <c r="A19" s="29" t="str">
        <f aca="false">'G&amp;A_Screen'!A11</f>
        <v>Energean</v>
      </c>
      <c r="B19" s="30" t="n">
        <f aca="false">'G&amp;A_Screen'!D11</f>
        <v>56.21</v>
      </c>
      <c r="C19" s="30" t="n">
        <f aca="false">'G&amp;A_Screen'!F11</f>
        <v>45.638</v>
      </c>
      <c r="D19" s="52" t="n">
        <f aca="false">IF(ISNUMBER(B19),$C$4*B19,"n/a")</f>
        <v>159.198961246504</v>
      </c>
      <c r="E19" s="52" t="n">
        <f aca="false">IF(AND(ISNUMBER(C19),ISNUMBER(D19)),MAX(0,C19-D19),"n/a")</f>
        <v>0</v>
      </c>
      <c r="F19" s="53" t="n">
        <f aca="false">INDEX(Normalisation!$I$5:$I$25,MATCH(A19,Normalisation!$A$5:$A$25,0))</f>
        <v>0.23</v>
      </c>
      <c r="G19" s="26"/>
      <c r="H19" s="52" t="str">
        <f aca="false">IF(ISNUMBER(G19),G19*$C$10,"n/a")</f>
        <v>n/a</v>
      </c>
      <c r="I19" s="30" t="n">
        <f aca="false">IFERROR(INDEX(Raw_Data!$N$5:$N$46,MATCH(A19&amp;"|"&amp;'G&amp;A_Screen'!$C$3,Raw_Data!$A$5:$A$46,0)),"n/a")</f>
        <v>1117</v>
      </c>
      <c r="J19" s="52" t="n">
        <f aca="false">IF(ISNUMBER(E19),E19*$C$5,"n/a")</f>
        <v>0</v>
      </c>
      <c r="K19" s="52" t="n">
        <f aca="false">IF(ISNUMBER(E19),E19*$C$6,"n/a")</f>
        <v>0</v>
      </c>
      <c r="L19" s="52" t="n">
        <f aca="false">IF(ISNUMBER(E19),E19*$C$7,"n/a")</f>
        <v>0</v>
      </c>
      <c r="M19" s="52" t="n">
        <f aca="false">IF(ISNUMBER(K19),K19*(1-F19),"n/a")</f>
        <v>0</v>
      </c>
      <c r="N19" s="54" t="n">
        <f aca="false">IF(AND(ISNUMBER(K19),ISNUMBER(I19)),K19/I19,"n/a")</f>
        <v>0</v>
      </c>
      <c r="O19" s="52" t="n">
        <f aca="false">IF(ISNUMBER(K19),K19*$C$9,"n/a")</f>
        <v>0</v>
      </c>
      <c r="P19" s="52" t="n">
        <f aca="false">IF(ISNUMBER(M19),M19*$C$8-O19*(1-F19),"n/a")</f>
        <v>0</v>
      </c>
      <c r="Q19" s="54" t="str">
        <f aca="false">IF(AND(ISNUMBER(P19),ISNUMBER(H19)),P19/H19,"enter market cap")</f>
        <v>enter market cap</v>
      </c>
      <c r="R19" s="55" t="str">
        <f aca="false">IF('G&amp;A_Screen'!V11="N","Excluded from ranking — partial G&amp;A line",IF(NOT(ISNUMBER(E19)),"Data gap",IF(E19=0,"At or below benchmark",IF(F19&gt;=0.7,"Mostly absorbed by UK tax — weak activism case",IF(ISNUMBER(Q19),IF(Q19&gt;0.1,"Material vs market cap — shortlist","Immaterial vs market cap"),"Needs market cap")))))</f>
        <v>At or below benchmark</v>
      </c>
    </row>
    <row r="20" customFormat="false" ht="15" hidden="false" customHeight="true" outlineLevel="0" collapsed="false">
      <c r="A20" s="29" t="str">
        <f aca="false">'G&amp;A_Screen'!A12</f>
        <v>Tullow Oil</v>
      </c>
      <c r="B20" s="30" t="n">
        <f aca="false">'G&amp;A_Screen'!D12</f>
        <v>14.746</v>
      </c>
      <c r="C20" s="30" t="n">
        <f aca="false">'G&amp;A_Screen'!F12</f>
        <v>37.8</v>
      </c>
      <c r="D20" s="52" t="n">
        <f aca="false">IF(ISNUMBER(B20),$C$4*B20,"n/a")</f>
        <v>41.763883339992</v>
      </c>
      <c r="E20" s="52" t="n">
        <f aca="false">IF(AND(ISNUMBER(C20),ISNUMBER(D20)),MAX(0,C20-D20),"n/a")</f>
        <v>0</v>
      </c>
      <c r="F20" s="53" t="n">
        <f aca="false">INDEX(Normalisation!$I$5:$I$25,MATCH(A20,Normalisation!$A$5:$A$25,0))</f>
        <v>0.35</v>
      </c>
      <c r="G20" s="26"/>
      <c r="H20" s="52" t="str">
        <f aca="false">IF(ISNUMBER(G20),G20*$C$10,"n/a")</f>
        <v>n/a</v>
      </c>
      <c r="I20" s="30" t="n">
        <f aca="false">IFERROR(INDEX(Raw_Data!$N$5:$N$46,MATCH(A20&amp;"|"&amp;'G&amp;A_Screen'!$C$3,Raw_Data!$A$5:$A$46,0)),"n/a")</f>
        <v>586</v>
      </c>
      <c r="J20" s="52" t="n">
        <f aca="false">IF(ISNUMBER(E20),E20*$C$5,"n/a")</f>
        <v>0</v>
      </c>
      <c r="K20" s="52" t="n">
        <f aca="false">IF(ISNUMBER(E20),E20*$C$6,"n/a")</f>
        <v>0</v>
      </c>
      <c r="L20" s="52" t="n">
        <f aca="false">IF(ISNUMBER(E20),E20*$C$7,"n/a")</f>
        <v>0</v>
      </c>
      <c r="M20" s="52" t="n">
        <f aca="false">IF(ISNUMBER(K20),K20*(1-F20),"n/a")</f>
        <v>0</v>
      </c>
      <c r="N20" s="54" t="n">
        <f aca="false">IF(AND(ISNUMBER(K20),ISNUMBER(I20)),K20/I20,"n/a")</f>
        <v>0</v>
      </c>
      <c r="O20" s="52" t="n">
        <f aca="false">IF(ISNUMBER(K20),K20*$C$9,"n/a")</f>
        <v>0</v>
      </c>
      <c r="P20" s="52" t="n">
        <f aca="false">IF(ISNUMBER(M20),M20*$C$8-O20*(1-F20),"n/a")</f>
        <v>0</v>
      </c>
      <c r="Q20" s="54" t="str">
        <f aca="false">IF(AND(ISNUMBER(P20),ISNUMBER(H20)),P20/H20,"enter market cap")</f>
        <v>enter market cap</v>
      </c>
      <c r="R20" s="55" t="str">
        <f aca="false">IF('G&amp;A_Screen'!V12="N","Excluded from ranking — partial G&amp;A line",IF(NOT(ISNUMBER(E20)),"Data gap",IF(E20=0,"At or below benchmark",IF(F20&gt;=0.7,"Mostly absorbed by UK tax — weak activism case",IF(ISNUMBER(Q20),IF(Q20&gt;0.1,"Material vs market cap — shortlist","Immaterial vs market cap"),"Needs market cap")))))</f>
        <v>At or below benchmark</v>
      </c>
    </row>
    <row r="21" customFormat="false" ht="15" hidden="false" customHeight="true" outlineLevel="0" collapsed="false">
      <c r="A21" s="29" t="str">
        <f aca="false">'G&amp;A_Screen'!A13</f>
        <v>Gulf Keystone</v>
      </c>
      <c r="B21" s="30" t="n">
        <f aca="false">'G&amp;A_Screen'!D13</f>
        <v>12.13552</v>
      </c>
      <c r="C21" s="30" t="n">
        <f aca="false">'G&amp;A_Screen'!F13</f>
        <v>9.313</v>
      </c>
      <c r="D21" s="52" t="n">
        <f aca="false">IF(ISNUMBER(B21),$C$4*B21,"n/a")</f>
        <v>34.3704354774271</v>
      </c>
      <c r="E21" s="52" t="n">
        <f aca="false">IF(AND(ISNUMBER(C21),ISNUMBER(D21)),MAX(0,C21-D21),"n/a")</f>
        <v>0</v>
      </c>
      <c r="F21" s="53" t="n">
        <f aca="false">INDEX(Normalisation!$I$5:$I$25,MATCH(A21,Normalisation!$A$5:$A$25,0))</f>
        <v>0</v>
      </c>
      <c r="G21" s="26"/>
      <c r="H21" s="52" t="str">
        <f aca="false">IF(ISNUMBER(G21),G21*$C$10,"n/a")</f>
        <v>n/a</v>
      </c>
      <c r="I21" s="30" t="n">
        <f aca="false">IFERROR(INDEX(Raw_Data!$N$5:$N$46,MATCH(A21&amp;"|"&amp;'G&amp;A_Screen'!$C$3,Raw_Data!$A$5:$A$46,0)),"n/a")</f>
        <v>111.4</v>
      </c>
      <c r="J21" s="52" t="n">
        <f aca="false">IF(ISNUMBER(E21),E21*$C$5,"n/a")</f>
        <v>0</v>
      </c>
      <c r="K21" s="52" t="n">
        <f aca="false">IF(ISNUMBER(E21),E21*$C$6,"n/a")</f>
        <v>0</v>
      </c>
      <c r="L21" s="52" t="n">
        <f aca="false">IF(ISNUMBER(E21),E21*$C$7,"n/a")</f>
        <v>0</v>
      </c>
      <c r="M21" s="52" t="n">
        <f aca="false">IF(ISNUMBER(K21),K21*(1-F21),"n/a")</f>
        <v>0</v>
      </c>
      <c r="N21" s="54" t="n">
        <f aca="false">IF(AND(ISNUMBER(K21),ISNUMBER(I21)),K21/I21,"n/a")</f>
        <v>0</v>
      </c>
      <c r="O21" s="52" t="n">
        <f aca="false">IF(ISNUMBER(K21),K21*$C$9,"n/a")</f>
        <v>0</v>
      </c>
      <c r="P21" s="52" t="n">
        <f aca="false">IF(ISNUMBER(M21),M21*$C$8-O21*(1-F21),"n/a")</f>
        <v>0</v>
      </c>
      <c r="Q21" s="54" t="str">
        <f aca="false">IF(AND(ISNUMBER(P21),ISNUMBER(H21)),P21/H21,"enter market cap")</f>
        <v>enter market cap</v>
      </c>
      <c r="R21" s="55" t="str">
        <f aca="false">IF('G&amp;A_Screen'!V13="N","Excluded from ranking — partial G&amp;A line",IF(NOT(ISNUMBER(E21)),"Data gap",IF(E21=0,"At or below benchmark",IF(F21&gt;=0.7,"Mostly absorbed by UK tax — weak activism case",IF(ISNUMBER(Q21),IF(Q21&gt;0.1,"Material vs market cap — shortlist","Immaterial vs market cap"),"Needs market cap")))))</f>
        <v>At or below benchmark</v>
      </c>
    </row>
    <row r="22" customFormat="false" ht="15" hidden="false" customHeight="true" outlineLevel="0" collapsed="false">
      <c r="A22" s="29" t="str">
        <f aca="false">'G&amp;A_Screen'!A14</f>
        <v>Jadestone Energy</v>
      </c>
      <c r="B22" s="30" t="n">
        <f aca="false">'G&amp;A_Screen'!D14</f>
        <v>7.237585</v>
      </c>
      <c r="C22" s="30" t="n">
        <f aca="false">'G&amp;A_Screen'!F14</f>
        <v>23.781</v>
      </c>
      <c r="D22" s="52" t="n">
        <f aca="false">IF(ISNUMBER(B22),$C$4*B22,"n/a")</f>
        <v>20.4984168997203</v>
      </c>
      <c r="E22" s="52" t="n">
        <f aca="false">IF(AND(ISNUMBER(C22),ISNUMBER(D22)),MAX(0,C22-D22),"n/a")</f>
        <v>3.28258310027967</v>
      </c>
      <c r="F22" s="53" t="n">
        <f aca="false">INDEX(Normalisation!$I$5:$I$25,MATCH(A22,Normalisation!$A$5:$A$25,0))</f>
        <v>0.3</v>
      </c>
      <c r="G22" s="26"/>
      <c r="H22" s="52" t="str">
        <f aca="false">IF(ISNUMBER(G22),G22*$C$10,"n/a")</f>
        <v>n/a</v>
      </c>
      <c r="I22" s="30" t="n">
        <f aca="false">IFERROR(INDEX(Raw_Data!$N$5:$N$46,MATCH(A22&amp;"|"&amp;'G&amp;A_Screen'!$C$3,Raw_Data!$A$5:$A$46,0)),"n/a")</f>
        <v>153</v>
      </c>
      <c r="J22" s="52" t="n">
        <f aca="false">IF(ISNUMBER(E22),E22*$C$5,"n/a")</f>
        <v>0.820645775069917</v>
      </c>
      <c r="K22" s="52" t="n">
        <f aca="false">IF(ISNUMBER(E22),E22*$C$6,"n/a")</f>
        <v>1.64129155013983</v>
      </c>
      <c r="L22" s="52" t="n">
        <f aca="false">IF(ISNUMBER(E22),E22*$C$7,"n/a")</f>
        <v>2.46193732520975</v>
      </c>
      <c r="M22" s="52" t="n">
        <f aca="false">IF(ISNUMBER(K22),K22*(1-F22),"n/a")</f>
        <v>1.14890408509788</v>
      </c>
      <c r="N22" s="54" t="n">
        <f aca="false">IF(AND(ISNUMBER(K22),ISNUMBER(I22)),K22/I22,"n/a")</f>
        <v>0.0107273957525479</v>
      </c>
      <c r="O22" s="52" t="n">
        <f aca="false">IF(ISNUMBER(K22),K22*$C$9,"n/a")</f>
        <v>1.64129155013983</v>
      </c>
      <c r="P22" s="52" t="n">
        <f aca="false">IF(ISNUMBER(M22),M22*$C$8-O22*(1-F22),"n/a")</f>
        <v>3.44671225529365</v>
      </c>
      <c r="Q22" s="54" t="str">
        <f aca="false">IF(AND(ISNUMBER(P22),ISNUMBER(H22)),P22/H22,"enter market cap")</f>
        <v>enter market cap</v>
      </c>
      <c r="R22" s="55" t="str">
        <f aca="false">IF('G&amp;A_Screen'!V14="N","Excluded from ranking — partial G&amp;A line",IF(NOT(ISNUMBER(E22)),"Data gap",IF(E22=0,"At or below benchmark",IF(F22&gt;=0.7,"Mostly absorbed by UK tax — weak activism case",IF(ISNUMBER(Q22),IF(Q22&gt;0.1,"Material vs market cap — shortlist","Immaterial vs market cap"),"Needs market cap")))))</f>
        <v>Excluded from ranking — partial G&amp;A line</v>
      </c>
    </row>
    <row r="23" customFormat="false" ht="15" hidden="false" customHeight="true" outlineLevel="0" collapsed="false">
      <c r="A23" s="29" t="str">
        <f aca="false">'G&amp;A_Screen'!A15</f>
        <v>Kistos</v>
      </c>
      <c r="B23" s="30" t="n">
        <f aca="false">'G&amp;A_Screen'!D15</f>
        <v>3.2631</v>
      </c>
      <c r="C23" s="30" t="str">
        <f aca="false">'G&amp;A_Screen'!F15</f>
        <v>n/a</v>
      </c>
      <c r="D23" s="52" t="n">
        <f aca="false">IF(ISNUMBER(B23),$C$4*B23,"n/a")</f>
        <v>9.24180982820615</v>
      </c>
      <c r="E23" s="52" t="str">
        <f aca="false">IF(AND(ISNUMBER(C23),ISNUMBER(D23)),MAX(0,C23-D23),"n/a")</f>
        <v>n/a</v>
      </c>
      <c r="F23" s="53" t="n">
        <f aca="false">INDEX(Normalisation!$I$5:$I$25,MATCH(A23,Normalisation!$A$5:$A$25,0))</f>
        <v>0.5</v>
      </c>
      <c r="G23" s="26"/>
      <c r="H23" s="52" t="str">
        <f aca="false">IF(ISNUMBER(G23),G23*$C$10,"n/a")</f>
        <v>n/a</v>
      </c>
      <c r="I23" s="30" t="n">
        <f aca="false">IFERROR(INDEX(Raw_Data!$N$5:$N$46,MATCH(A23&amp;"|"&amp;'G&amp;A_Screen'!$C$3,Raw_Data!$A$5:$A$46,0)),"n/a")</f>
        <v>96.59</v>
      </c>
      <c r="J23" s="52" t="str">
        <f aca="false">IF(ISNUMBER(E23),E23*$C$5,"n/a")</f>
        <v>n/a</v>
      </c>
      <c r="K23" s="52" t="str">
        <f aca="false">IF(ISNUMBER(E23),E23*$C$6,"n/a")</f>
        <v>n/a</v>
      </c>
      <c r="L23" s="52" t="str">
        <f aca="false">IF(ISNUMBER(E23),E23*$C$7,"n/a")</f>
        <v>n/a</v>
      </c>
      <c r="M23" s="52" t="str">
        <f aca="false">IF(ISNUMBER(K23),K23*(1-F23),"n/a")</f>
        <v>n/a</v>
      </c>
      <c r="N23" s="54" t="str">
        <f aca="false">IF(AND(ISNUMBER(K23),ISNUMBER(I23)),K23/I23,"n/a")</f>
        <v>n/a</v>
      </c>
      <c r="O23" s="52" t="str">
        <f aca="false">IF(ISNUMBER(K23),K23*$C$9,"n/a")</f>
        <v>n/a</v>
      </c>
      <c r="P23" s="52" t="str">
        <f aca="false">IF(ISNUMBER(M23),M23*$C$8-O23*(1-F23),"n/a")</f>
        <v>n/a</v>
      </c>
      <c r="Q23" s="54" t="str">
        <f aca="false">IF(AND(ISNUMBER(P23),ISNUMBER(H23)),P23/H23,"enter market cap")</f>
        <v>enter market cap</v>
      </c>
      <c r="R23" s="55" t="str">
        <f aca="false">IF('G&amp;A_Screen'!V15="N","Excluded from ranking — partial G&amp;A line",IF(NOT(ISNUMBER(E23)),"Data gap",IF(E23=0,"At or below benchmark",IF(F23&gt;=0.7,"Mostly absorbed by UK tax — weak activism case",IF(ISNUMBER(Q23),IF(Q23&gt;0.1,"Material vs market cap — shortlist","Immaterial vs market cap"),"Needs market cap")))))</f>
        <v>Data gap</v>
      </c>
    </row>
    <row r="24" customFormat="false" ht="15" hidden="false" customHeight="true" outlineLevel="0" collapsed="false">
      <c r="A24" s="29" t="str">
        <f aca="false">'G&amp;A_Screen'!A16</f>
        <v>Pharos Energy</v>
      </c>
      <c r="B24" s="30" t="n">
        <f aca="false">'G&amp;A_Screen'!D16</f>
        <v>1.97027</v>
      </c>
      <c r="C24" s="30" t="n">
        <f aca="false">'G&amp;A_Screen'!F16</f>
        <v>7.2</v>
      </c>
      <c r="D24" s="52" t="n">
        <f aca="false">IF(ISNUMBER(B24),$C$4*B24,"n/a")</f>
        <v>5.58023371953656</v>
      </c>
      <c r="E24" s="52" t="n">
        <f aca="false">IF(AND(ISNUMBER(C24),ISNUMBER(D24)),MAX(0,C24-D24),"n/a")</f>
        <v>1.61976628046345</v>
      </c>
      <c r="F24" s="53" t="n">
        <f aca="false">INDEX(Normalisation!$I$5:$I$25,MATCH(A24,Normalisation!$A$5:$A$25,0))</f>
        <v>0.3</v>
      </c>
      <c r="G24" s="26"/>
      <c r="H24" s="52" t="str">
        <f aca="false">IF(ISNUMBER(G24),G24*$C$10,"n/a")</f>
        <v>n/a</v>
      </c>
      <c r="I24" s="30" t="n">
        <f aca="false">IFERROR(INDEX(Raw_Data!$N$5:$N$46,MATCH(A24&amp;"|"&amp;'G&amp;A_Screen'!$C$3,Raw_Data!$A$5:$A$46,0)),"n/a")</f>
        <v>55.3</v>
      </c>
      <c r="J24" s="52" t="n">
        <f aca="false">IF(ISNUMBER(E24),E24*$C$5,"n/a")</f>
        <v>0.404941570115861</v>
      </c>
      <c r="K24" s="52" t="n">
        <f aca="false">IF(ISNUMBER(E24),E24*$C$6,"n/a")</f>
        <v>0.809883140231723</v>
      </c>
      <c r="L24" s="52" t="n">
        <f aca="false">IF(ISNUMBER(E24),E24*$C$7,"n/a")</f>
        <v>1.21482471034758</v>
      </c>
      <c r="M24" s="52" t="n">
        <f aca="false">IF(ISNUMBER(K24),K24*(1-F24),"n/a")</f>
        <v>0.566918198162206</v>
      </c>
      <c r="N24" s="54" t="n">
        <f aca="false">IF(AND(ISNUMBER(K24),ISNUMBER(I24)),K24/I24,"n/a")</f>
        <v>0.0146452647419841</v>
      </c>
      <c r="O24" s="52" t="n">
        <f aca="false">IF(ISNUMBER(K24),K24*$C$9,"n/a")</f>
        <v>0.809883140231723</v>
      </c>
      <c r="P24" s="52" t="n">
        <f aca="false">IF(ISNUMBER(M24),M24*$C$8-O24*(1-F24),"n/a")</f>
        <v>1.70075459448662</v>
      </c>
      <c r="Q24" s="54" t="str">
        <f aca="false">IF(AND(ISNUMBER(P24),ISNUMBER(H24)),P24/H24,"enter market cap")</f>
        <v>enter market cap</v>
      </c>
      <c r="R24" s="55" t="str">
        <f aca="false">IF('G&amp;A_Screen'!V16="N","Excluded from ranking — partial G&amp;A line",IF(NOT(ISNUMBER(E24)),"Data gap",IF(E24=0,"At or below benchmark",IF(F24&gt;=0.7,"Mostly absorbed by UK tax — weak activism case",IF(ISNUMBER(Q24),IF(Q24&gt;0.1,"Material vs market cap — shortlist","Immaterial vs market cap"),"Needs market cap")))))</f>
        <v>Needs market cap</v>
      </c>
    </row>
    <row r="25" customFormat="false" ht="15" hidden="false" customHeight="true" outlineLevel="0" collapsed="false">
      <c r="A25" s="29" t="str">
        <f aca="false">'G&amp;A_Screen'!A17</f>
        <v>Diversified Energy</v>
      </c>
      <c r="B25" s="30" t="n">
        <f aca="false">'G&amp;A_Screen'!D17</f>
        <v>66.065</v>
      </c>
      <c r="C25" s="30" t="n">
        <f aca="false">'G&amp;A_Screen'!F17</f>
        <v>96.5</v>
      </c>
      <c r="D25" s="52" t="n">
        <f aca="false">IF(ISNUMBER(B25),$C$4*B25,"n/a")</f>
        <v>187.110467439073</v>
      </c>
      <c r="E25" s="52" t="n">
        <f aca="false">IF(AND(ISNUMBER(C25),ISNUMBER(D25)),MAX(0,C25-D25),"n/a")</f>
        <v>0</v>
      </c>
      <c r="F25" s="53" t="n">
        <f aca="false">INDEX(Normalisation!$I$5:$I$25,MATCH(A25,Normalisation!$A$5:$A$25,0))</f>
        <v>0.21</v>
      </c>
      <c r="G25" s="26"/>
      <c r="H25" s="52" t="str">
        <f aca="false">IF(ISNUMBER(G25),G25*$C$10,"n/a")</f>
        <v>n/a</v>
      </c>
      <c r="I25" s="30" t="n">
        <f aca="false">IFERROR(INDEX(Raw_Data!$N$5:$N$46,MATCH(A25&amp;"|"&amp;'G&amp;A_Screen'!$C$3,Raw_Data!$A$5:$A$46,0)),"n/a")</f>
        <v>955.7</v>
      </c>
      <c r="J25" s="52" t="n">
        <f aca="false">IF(ISNUMBER(E25),E25*$C$5,"n/a")</f>
        <v>0</v>
      </c>
      <c r="K25" s="52" t="n">
        <f aca="false">IF(ISNUMBER(E25),E25*$C$6,"n/a")</f>
        <v>0</v>
      </c>
      <c r="L25" s="52" t="n">
        <f aca="false">IF(ISNUMBER(E25),E25*$C$7,"n/a")</f>
        <v>0</v>
      </c>
      <c r="M25" s="52" t="n">
        <f aca="false">IF(ISNUMBER(K25),K25*(1-F25),"n/a")</f>
        <v>0</v>
      </c>
      <c r="N25" s="54" t="n">
        <f aca="false">IF(AND(ISNUMBER(K25),ISNUMBER(I25)),K25/I25,"n/a")</f>
        <v>0</v>
      </c>
      <c r="O25" s="52" t="n">
        <f aca="false">IF(ISNUMBER(K25),K25*$C$9,"n/a")</f>
        <v>0</v>
      </c>
      <c r="P25" s="52" t="n">
        <f aca="false">IF(ISNUMBER(M25),M25*$C$8-O25*(1-F25),"n/a")</f>
        <v>0</v>
      </c>
      <c r="Q25" s="54" t="str">
        <f aca="false">IF(AND(ISNUMBER(P25),ISNUMBER(H25)),P25/H25,"enter market cap")</f>
        <v>enter market cap</v>
      </c>
      <c r="R25" s="55" t="str">
        <f aca="false">IF('G&amp;A_Screen'!V17="N","Excluded from ranking — partial G&amp;A line",IF(NOT(ISNUMBER(E25)),"Data gap",IF(E25=0,"At or below benchmark",IF(F25&gt;=0.7,"Mostly absorbed by UK tax — weak activism case",IF(ISNUMBER(Q25),IF(Q25&gt;0.1,"Material vs market cap — shortlist","Immaterial vs market cap"),"Needs market cap")))))</f>
        <v>At or below benchmark</v>
      </c>
    </row>
    <row r="26" customFormat="false" ht="15" hidden="false" customHeight="true" outlineLevel="0" collapsed="false">
      <c r="A26" s="29" t="str">
        <f aca="false">'G&amp;A_Screen'!A18</f>
        <v>Seplat Energy</v>
      </c>
      <c r="B26" s="30" t="n">
        <f aca="false">'G&amp;A_Screen'!D18</f>
        <v>47.99969</v>
      </c>
      <c r="C26" s="30" t="n">
        <f aca="false">'G&amp;A_Screen'!F18</f>
        <v>249.5</v>
      </c>
      <c r="D26" s="52" t="n">
        <f aca="false">IF(ISNUMBER(B26),$C$4*B26,"n/a")</f>
        <v>135.945575309628</v>
      </c>
      <c r="E26" s="52" t="n">
        <f aca="false">IF(AND(ISNUMBER(C26),ISNUMBER(D26)),MAX(0,C26-D26),"n/a")</f>
        <v>113.554424690372</v>
      </c>
      <c r="F26" s="53" t="n">
        <f aca="false">INDEX(Normalisation!$I$5:$I$25,MATCH(A26,Normalisation!$A$5:$A$25,0))</f>
        <v>0.3</v>
      </c>
      <c r="G26" s="26"/>
      <c r="H26" s="52" t="str">
        <f aca="false">IF(ISNUMBER(G26),G26*$C$10,"n/a")</f>
        <v>n/a</v>
      </c>
      <c r="I26" s="30" t="n">
        <f aca="false">IFERROR(INDEX(Raw_Data!$N$5:$N$46,MATCH(A26&amp;"|"&amp;'G&amp;A_Screen'!$C$3,Raw_Data!$A$5:$A$46,0)),"n/a")</f>
        <v>1275.4</v>
      </c>
      <c r="J26" s="52" t="n">
        <f aca="false">IF(ISNUMBER(E26),E26*$C$5,"n/a")</f>
        <v>28.3886061725929</v>
      </c>
      <c r="K26" s="52" t="n">
        <f aca="false">IF(ISNUMBER(E26),E26*$C$6,"n/a")</f>
        <v>56.7772123451858</v>
      </c>
      <c r="L26" s="52" t="n">
        <f aca="false">IF(ISNUMBER(E26),E26*$C$7,"n/a")</f>
        <v>85.1658185177787</v>
      </c>
      <c r="M26" s="52" t="n">
        <f aca="false">IF(ISNUMBER(K26),K26*(1-F26),"n/a")</f>
        <v>39.7440486416301</v>
      </c>
      <c r="N26" s="54" t="n">
        <f aca="false">IF(AND(ISNUMBER(K26),ISNUMBER(I26)),K26/I26,"n/a")</f>
        <v>0.0445171807630436</v>
      </c>
      <c r="O26" s="52" t="n">
        <f aca="false">IF(ISNUMBER(K26),K26*$C$9,"n/a")</f>
        <v>56.7772123451858</v>
      </c>
      <c r="P26" s="52" t="n">
        <f aca="false">IF(ISNUMBER(M26),M26*$C$8-O26*(1-F26),"n/a")</f>
        <v>119.23214592489</v>
      </c>
      <c r="Q26" s="54" t="str">
        <f aca="false">IF(AND(ISNUMBER(P26),ISNUMBER(H26)),P26/H26,"enter market cap")</f>
        <v>enter market cap</v>
      </c>
      <c r="R26" s="55" t="str">
        <f aca="false">IF('G&amp;A_Screen'!V18="N","Excluded from ranking — partial G&amp;A line",IF(NOT(ISNUMBER(E26)),"Data gap",IF(E26=0,"At or below benchmark",IF(F26&gt;=0.7,"Mostly absorbed by UK tax — weak activism case",IF(ISNUMBER(Q26),IF(Q26&gt;0.1,"Material vs market cap — shortlist","Immaterial vs market cap"),"Needs market cap")))))</f>
        <v>Needs market cap</v>
      </c>
    </row>
    <row r="27" customFormat="false" ht="15" hidden="false" customHeight="true" outlineLevel="0" collapsed="false">
      <c r="A27" s="29" t="str">
        <f aca="false">'G&amp;A_Screen'!A19</f>
        <v>Genel Energy</v>
      </c>
      <c r="B27" s="30" t="n">
        <f aca="false">'G&amp;A_Screen'!D19</f>
        <v>6.3948</v>
      </c>
      <c r="C27" s="30" t="n">
        <f aca="false">'G&amp;A_Screen'!F19</f>
        <v>17</v>
      </c>
      <c r="D27" s="52" t="n">
        <f aca="false">IF(ISNUMBER(B27),$C$4*B27,"n/a")</f>
        <v>18.1114662405114</v>
      </c>
      <c r="E27" s="52" t="n">
        <f aca="false">IF(AND(ISNUMBER(C27),ISNUMBER(D27)),MAX(0,C27-D27),"n/a")</f>
        <v>0</v>
      </c>
      <c r="F27" s="53" t="n">
        <f aca="false">INDEX(Normalisation!$I$5:$I$25,MATCH(A27,Normalisation!$A$5:$A$25,0))</f>
        <v>0</v>
      </c>
      <c r="G27" s="26"/>
      <c r="H27" s="52" t="str">
        <f aca="false">IF(ISNUMBER(G27),G27*$C$10,"n/a")</f>
        <v>n/a</v>
      </c>
      <c r="I27" s="30" t="n">
        <f aca="false">IFERROR(INDEX(Raw_Data!$N$5:$N$46,MATCH(A27&amp;"|"&amp;'G&amp;A_Screen'!$C$3,Raw_Data!$A$5:$A$46,0)),"n/a")</f>
        <v>43.3</v>
      </c>
      <c r="J27" s="52" t="n">
        <f aca="false">IF(ISNUMBER(E27),E27*$C$5,"n/a")</f>
        <v>0</v>
      </c>
      <c r="K27" s="52" t="n">
        <f aca="false">IF(ISNUMBER(E27),E27*$C$6,"n/a")</f>
        <v>0</v>
      </c>
      <c r="L27" s="52" t="n">
        <f aca="false">IF(ISNUMBER(E27),E27*$C$7,"n/a")</f>
        <v>0</v>
      </c>
      <c r="M27" s="52" t="n">
        <f aca="false">IF(ISNUMBER(K27),K27*(1-F27),"n/a")</f>
        <v>0</v>
      </c>
      <c r="N27" s="54" t="n">
        <f aca="false">IF(AND(ISNUMBER(K27),ISNUMBER(I27)),K27/I27,"n/a")</f>
        <v>0</v>
      </c>
      <c r="O27" s="52" t="n">
        <f aca="false">IF(ISNUMBER(K27),K27*$C$9,"n/a")</f>
        <v>0</v>
      </c>
      <c r="P27" s="52" t="n">
        <f aca="false">IF(ISNUMBER(M27),M27*$C$8-O27*(1-F27),"n/a")</f>
        <v>0</v>
      </c>
      <c r="Q27" s="54" t="str">
        <f aca="false">IF(AND(ISNUMBER(P27),ISNUMBER(H27)),P27/H27,"enter market cap")</f>
        <v>enter market cap</v>
      </c>
      <c r="R27" s="55" t="str">
        <f aca="false">IF('G&amp;A_Screen'!V19="N","Excluded from ranking — partial G&amp;A line",IF(NOT(ISNUMBER(E27)),"Data gap",IF(E27=0,"At or below benchmark",IF(F27&gt;=0.7,"Mostly absorbed by UK tax — weak activism case",IF(ISNUMBER(Q27),IF(Q27&gt;0.1,"Material vs market cap — shortlist","Immaterial vs market cap"),"Needs market cap")))))</f>
        <v>At or below benchmark</v>
      </c>
    </row>
    <row r="28" customFormat="false" ht="15" hidden="false" customHeight="true" outlineLevel="0" collapsed="false">
      <c r="A28" s="29" t="str">
        <f aca="false">'G&amp;A_Screen'!A20</f>
        <v>Capricorn Energy</v>
      </c>
      <c r="B28" s="30" t="n">
        <f aca="false">'G&amp;A_Screen'!D20</f>
        <v>7.30876</v>
      </c>
      <c r="C28" s="30" t="n">
        <f aca="false">'G&amp;A_Screen'!F20</f>
        <v>20.7</v>
      </c>
      <c r="D28" s="52" t="n">
        <f aca="false">IF(ISNUMBER(B28),$C$4*B28,"n/a")</f>
        <v>20.7</v>
      </c>
      <c r="E28" s="52" t="n">
        <f aca="false">IF(AND(ISNUMBER(C28),ISNUMBER(D28)),MAX(0,C28-D28),"n/a")</f>
        <v>0</v>
      </c>
      <c r="F28" s="53" t="n">
        <f aca="false">INDEX(Normalisation!$I$5:$I$25,MATCH(A28,Normalisation!$A$5:$A$25,0))</f>
        <v>0</v>
      </c>
      <c r="G28" s="26"/>
      <c r="H28" s="52" t="str">
        <f aca="false">IF(ISNUMBER(G28),G28*$C$10,"n/a")</f>
        <v>n/a</v>
      </c>
      <c r="I28" s="30" t="n">
        <f aca="false">IFERROR(INDEX(Raw_Data!$N$5:$N$46,MATCH(A28&amp;"|"&amp;'G&amp;A_Screen'!$C$3,Raw_Data!$A$5:$A$46,0)),"n/a")</f>
        <v>0</v>
      </c>
      <c r="J28" s="52" t="n">
        <f aca="false">IF(ISNUMBER(E28),E28*$C$5,"n/a")</f>
        <v>0</v>
      </c>
      <c r="K28" s="52" t="n">
        <f aca="false">IF(ISNUMBER(E28),E28*$C$6,"n/a")</f>
        <v>0</v>
      </c>
      <c r="L28" s="52" t="n">
        <f aca="false">IF(ISNUMBER(E28),E28*$C$7,"n/a")</f>
        <v>0</v>
      </c>
      <c r="M28" s="52" t="n">
        <f aca="false">IF(ISNUMBER(K28),K28*(1-F28),"n/a")</f>
        <v>0</v>
      </c>
      <c r="N28" s="54" t="str">
        <f aca="false">IF(AND(ISNUMBER(K28),ISNUMBER(I28)),K28/I28,"n/a")</f>
        <v>n/a</v>
      </c>
      <c r="O28" s="52" t="n">
        <f aca="false">IF(ISNUMBER(K28),K28*$C$9,"n/a")</f>
        <v>0</v>
      </c>
      <c r="P28" s="52" t="n">
        <f aca="false">IF(ISNUMBER(M28),M28*$C$8-O28*(1-F28),"n/a")</f>
        <v>0</v>
      </c>
      <c r="Q28" s="54" t="str">
        <f aca="false">IF(AND(ISNUMBER(P28),ISNUMBER(H28)),P28/H28,"enter market cap")</f>
        <v>enter market cap</v>
      </c>
      <c r="R28" s="55" t="str">
        <f aca="false">IF('G&amp;A_Screen'!V20="N","Excluded from ranking — partial G&amp;A line",IF(NOT(ISNUMBER(E28)),"Data gap",IF(E28=0,"At or below benchmark",IF(F28&gt;=0.7,"Mostly absorbed by UK tax — weak activism case",IF(ISNUMBER(Q28),IF(Q28&gt;0.1,"Material vs market cap — shortlist","Immaterial vs market cap"),"Needs market cap")))))</f>
        <v>At or below benchmark</v>
      </c>
    </row>
    <row r="29" customFormat="false" ht="15" hidden="false" customHeight="true" outlineLevel="0" collapsed="false">
      <c r="A29" s="29" t="str">
        <f aca="false">'G&amp;A_Screen'!A21</f>
        <v>Afentra</v>
      </c>
      <c r="B29" s="30" t="n">
        <f aca="false">'G&amp;A_Screen'!D21</f>
        <v>2.30826</v>
      </c>
      <c r="C29" s="30" t="n">
        <f aca="false">'G&amp;A_Screen'!F21</f>
        <v>11.86</v>
      </c>
      <c r="D29" s="52" t="n">
        <f aca="false">IF(ISNUMBER(B29),$C$4*B29,"n/a")</f>
        <v>6.53749500599281</v>
      </c>
      <c r="E29" s="52" t="n">
        <f aca="false">IF(AND(ISNUMBER(C29),ISNUMBER(D29)),MAX(0,C29-D29),"n/a")</f>
        <v>5.32250499400719</v>
      </c>
      <c r="F29" s="53" t="n">
        <f aca="false">INDEX(Normalisation!$I$5:$I$25,MATCH(A29,Normalisation!$A$5:$A$25,0))</f>
        <v>0.3</v>
      </c>
      <c r="G29" s="26"/>
      <c r="H29" s="52" t="str">
        <f aca="false">IF(ISNUMBER(G29),G29*$C$10,"n/a")</f>
        <v>n/a</v>
      </c>
      <c r="I29" s="30" t="n">
        <f aca="false">IFERROR(INDEX(Raw_Data!$N$5:$N$46,MATCH(A29&amp;"|"&amp;'G&amp;A_Screen'!$C$3,Raw_Data!$A$5:$A$46,0)),"n/a")</f>
        <v>51.7</v>
      </c>
      <c r="J29" s="52" t="n">
        <f aca="false">IF(ISNUMBER(E29),E29*$C$5,"n/a")</f>
        <v>1.3306262485018</v>
      </c>
      <c r="K29" s="52" t="n">
        <f aca="false">IF(ISNUMBER(E29),E29*$C$6,"n/a")</f>
        <v>2.66125249700359</v>
      </c>
      <c r="L29" s="52" t="n">
        <f aca="false">IF(ISNUMBER(E29),E29*$C$7,"n/a")</f>
        <v>3.99187874550539</v>
      </c>
      <c r="M29" s="52" t="n">
        <f aca="false">IF(ISNUMBER(K29),K29*(1-F29),"n/a")</f>
        <v>1.86287674790252</v>
      </c>
      <c r="N29" s="54" t="n">
        <f aca="false">IF(AND(ISNUMBER(K29),ISNUMBER(I29)),K29/I29,"n/a")</f>
        <v>0.0514749032302436</v>
      </c>
      <c r="O29" s="52" t="n">
        <f aca="false">IF(ISNUMBER(K29),K29*$C$9,"n/a")</f>
        <v>2.66125249700359</v>
      </c>
      <c r="P29" s="52" t="n">
        <f aca="false">IF(ISNUMBER(M29),M29*$C$8-O29*(1-F29),"n/a")</f>
        <v>5.58863024370755</v>
      </c>
      <c r="Q29" s="54" t="str">
        <f aca="false">IF(AND(ISNUMBER(P29),ISNUMBER(H29)),P29/H29,"enter market cap")</f>
        <v>enter market cap</v>
      </c>
      <c r="R29" s="55" t="str">
        <f aca="false">IF('G&amp;A_Screen'!V21="N","Excluded from ranking — partial G&amp;A line",IF(NOT(ISNUMBER(E29)),"Data gap",IF(E29=0,"At or below benchmark",IF(F29&gt;=0.7,"Mostly absorbed by UK tax — weak activism case",IF(ISNUMBER(Q29),IF(Q29&gt;0.1,"Material vs market cap — shortlist","Immaterial vs market cap"),"Needs market cap")))))</f>
        <v>Needs market cap</v>
      </c>
    </row>
    <row r="30" customFormat="false" ht="15" hidden="false" customHeight="true" outlineLevel="0" collapsed="false">
      <c r="A30" s="29" t="str">
        <f aca="false">'G&amp;A_Screen'!A22</f>
        <v>Touchstone Exploration</v>
      </c>
      <c r="B30" s="30" t="n">
        <f aca="false">'G&amp;A_Screen'!D22</f>
        <v>1.71039</v>
      </c>
      <c r="C30" s="30" t="n">
        <f aca="false">'G&amp;A_Screen'!F22</f>
        <v>9.82</v>
      </c>
      <c r="D30" s="52" t="n">
        <f aca="false">IF(ISNUMBER(B30),$C$4*B30,"n/a")</f>
        <v>4.84419696364363</v>
      </c>
      <c r="E30" s="52" t="n">
        <f aca="false">IF(AND(ISNUMBER(C30),ISNUMBER(D30)),MAX(0,C30-D30),"n/a")</f>
        <v>4.97580303635637</v>
      </c>
      <c r="F30" s="53" t="n">
        <f aca="false">INDEX(Normalisation!$I$5:$I$25,MATCH(A30,Normalisation!$A$5:$A$25,0))</f>
        <v>0.35</v>
      </c>
      <c r="G30" s="26"/>
      <c r="H30" s="52" t="str">
        <f aca="false">IF(ISNUMBER(G30),G30*$C$10,"n/a")</f>
        <v>n/a</v>
      </c>
      <c r="I30" s="30" t="n">
        <f aca="false">IFERROR(INDEX(Raw_Data!$N$5:$N$46,MATCH(A30&amp;"|"&amp;'G&amp;A_Screen'!$C$3,Raw_Data!$A$5:$A$46,0)),"n/a")</f>
        <v>0</v>
      </c>
      <c r="J30" s="52" t="n">
        <f aca="false">IF(ISNUMBER(E30),E30*$C$5,"n/a")</f>
        <v>1.24395075908909</v>
      </c>
      <c r="K30" s="52" t="n">
        <f aca="false">IF(ISNUMBER(E30),E30*$C$6,"n/a")</f>
        <v>2.48790151817819</v>
      </c>
      <c r="L30" s="52" t="n">
        <f aca="false">IF(ISNUMBER(E30),E30*$C$7,"n/a")</f>
        <v>3.73185227726728</v>
      </c>
      <c r="M30" s="52" t="n">
        <f aca="false">IF(ISNUMBER(K30),K30*(1-F30),"n/a")</f>
        <v>1.61713598681582</v>
      </c>
      <c r="N30" s="54" t="str">
        <f aca="false">IF(AND(ISNUMBER(K30),ISNUMBER(I30)),K30/I30,"n/a")</f>
        <v>n/a</v>
      </c>
      <c r="O30" s="52" t="n">
        <f aca="false">IF(ISNUMBER(K30),K30*$C$9,"n/a")</f>
        <v>2.48790151817819</v>
      </c>
      <c r="P30" s="52" t="n">
        <f aca="false">IF(ISNUMBER(M30),M30*$C$8-O30*(1-F30),"n/a")</f>
        <v>4.85140796044746</v>
      </c>
      <c r="Q30" s="54" t="str">
        <f aca="false">IF(AND(ISNUMBER(P30),ISNUMBER(H30)),P30/H30,"enter market cap")</f>
        <v>enter market cap</v>
      </c>
      <c r="R30" s="55" t="str">
        <f aca="false">IF('G&amp;A_Screen'!V22="N","Excluded from ranking — partial G&amp;A line",IF(NOT(ISNUMBER(E30)),"Data gap",IF(E30=0,"At or below benchmark",IF(F30&gt;=0.7,"Mostly absorbed by UK tax — weak activism case",IF(ISNUMBER(Q30),IF(Q30&gt;0.1,"Material vs market cap — shortlist","Immaterial vs market cap"),"Needs market cap")))))</f>
        <v>Needs market cap</v>
      </c>
    </row>
    <row r="31" customFormat="false" ht="15" hidden="false" customHeight="true" outlineLevel="0" collapsed="false">
      <c r="A31" s="29" t="str">
        <f aca="false">'G&amp;A_Screen'!A23</f>
        <v>PetroTal</v>
      </c>
      <c r="B31" s="30" t="n">
        <f aca="false">'G&amp;A_Screen'!D23</f>
        <v>7.107645</v>
      </c>
      <c r="C31" s="30" t="n">
        <f aca="false">'G&amp;A_Screen'!F23</f>
        <v>29.5</v>
      </c>
      <c r="D31" s="52" t="n">
        <f aca="false">IF(ISNUMBER(B31),$C$4*B31,"n/a")</f>
        <v>20.1303985217739</v>
      </c>
      <c r="E31" s="52" t="n">
        <f aca="false">IF(AND(ISNUMBER(C31),ISNUMBER(D31)),MAX(0,C31-D31),"n/a")</f>
        <v>9.36960147822613</v>
      </c>
      <c r="F31" s="53" t="n">
        <f aca="false">INDEX(Normalisation!$I$5:$I$25,MATCH(A31,Normalisation!$A$5:$A$25,0))</f>
        <v>0.3</v>
      </c>
      <c r="G31" s="26"/>
      <c r="H31" s="52" t="str">
        <f aca="false">IF(ISNUMBER(G31),G31*$C$10,"n/a")</f>
        <v>n/a</v>
      </c>
      <c r="I31" s="30" t="n">
        <f aca="false">IFERROR(INDEX(Raw_Data!$N$5:$N$46,MATCH(A31&amp;"|"&amp;'G&amp;A_Screen'!$C$3,Raw_Data!$A$5:$A$46,0)),"n/a")</f>
        <v>166.3</v>
      </c>
      <c r="J31" s="52" t="n">
        <f aca="false">IF(ISNUMBER(E31),E31*$C$5,"n/a")</f>
        <v>2.34240036955653</v>
      </c>
      <c r="K31" s="52" t="n">
        <f aca="false">IF(ISNUMBER(E31),E31*$C$6,"n/a")</f>
        <v>4.68480073911307</v>
      </c>
      <c r="L31" s="52" t="n">
        <f aca="false">IF(ISNUMBER(E31),E31*$C$7,"n/a")</f>
        <v>7.0272011086696</v>
      </c>
      <c r="M31" s="52" t="n">
        <f aca="false">IF(ISNUMBER(K31),K31*(1-F31),"n/a")</f>
        <v>3.27936051737915</v>
      </c>
      <c r="N31" s="54" t="n">
        <f aca="false">IF(AND(ISNUMBER(K31),ISNUMBER(I31)),K31/I31,"n/a")</f>
        <v>0.0281707801510106</v>
      </c>
      <c r="O31" s="52" t="n">
        <f aca="false">IF(ISNUMBER(K31),K31*$C$9,"n/a")</f>
        <v>4.68480073911307</v>
      </c>
      <c r="P31" s="52" t="n">
        <f aca="false">IF(ISNUMBER(M31),M31*$C$8-O31*(1-F31),"n/a")</f>
        <v>9.83808155213744</v>
      </c>
      <c r="Q31" s="54" t="str">
        <f aca="false">IF(AND(ISNUMBER(P31),ISNUMBER(H31)),P31/H31,"enter market cap")</f>
        <v>enter market cap</v>
      </c>
      <c r="R31" s="55" t="str">
        <f aca="false">IF('G&amp;A_Screen'!V23="N","Excluded from ranking — partial G&amp;A line",IF(NOT(ISNUMBER(E31)),"Data gap",IF(E31=0,"At or below benchmark",IF(F31&gt;=0.7,"Mostly absorbed by UK tax — weak activism case",IF(ISNUMBER(Q31),IF(Q31&gt;0.1,"Material vs market cap — shortlist","Immaterial vs market cap"),"Needs market cap")))))</f>
        <v>Needs market cap</v>
      </c>
    </row>
    <row r="32" customFormat="false" ht="15" hidden="false" customHeight="true" outlineLevel="0" collapsed="false">
      <c r="A32" s="29" t="str">
        <f aca="false">'G&amp;A_Screen'!A24</f>
        <v>Arrow Exploration</v>
      </c>
      <c r="B32" s="30" t="n">
        <f aca="false">'G&amp;A_Screen'!D24</f>
        <v>1.46438</v>
      </c>
      <c r="C32" s="30" t="n">
        <f aca="false">'G&amp;A_Screen'!F24</f>
        <v>11.94</v>
      </c>
      <c r="D32" s="52" t="n">
        <f aca="false">IF(ISNUMBER(B32),$C$4*B32,"n/a")</f>
        <v>4.14744306831802</v>
      </c>
      <c r="E32" s="52" t="n">
        <f aca="false">IF(AND(ISNUMBER(C32),ISNUMBER(D32)),MAX(0,C32-D32),"n/a")</f>
        <v>7.79255693168198</v>
      </c>
      <c r="F32" s="53" t="n">
        <f aca="false">INDEX(Normalisation!$I$5:$I$25,MATCH(A32,Normalisation!$A$5:$A$25,0))</f>
        <v>0.35</v>
      </c>
      <c r="G32" s="26"/>
      <c r="H32" s="52" t="str">
        <f aca="false">IF(ISNUMBER(G32),G32*$C$10,"n/a")</f>
        <v>n/a</v>
      </c>
      <c r="I32" s="30" t="n">
        <f aca="false">IFERROR(INDEX(Raw_Data!$N$5:$N$46,MATCH(A32&amp;"|"&amp;'G&amp;A_Screen'!$C$3,Raw_Data!$A$5:$A$46,0)),"n/a")</f>
        <v>34.97</v>
      </c>
      <c r="J32" s="52" t="n">
        <f aca="false">IF(ISNUMBER(E32),E32*$C$5,"n/a")</f>
        <v>1.9481392329205</v>
      </c>
      <c r="K32" s="52" t="n">
        <f aca="false">IF(ISNUMBER(E32),E32*$C$6,"n/a")</f>
        <v>3.89627846584099</v>
      </c>
      <c r="L32" s="52" t="n">
        <f aca="false">IF(ISNUMBER(E32),E32*$C$7,"n/a")</f>
        <v>5.84441769876149</v>
      </c>
      <c r="M32" s="52" t="n">
        <f aca="false">IF(ISNUMBER(K32),K32*(1-F32),"n/a")</f>
        <v>2.53258100279664</v>
      </c>
      <c r="N32" s="54" t="n">
        <f aca="false">IF(AND(ISNUMBER(K32),ISNUMBER(I32)),K32/I32,"n/a")</f>
        <v>0.111417742803574</v>
      </c>
      <c r="O32" s="52" t="n">
        <f aca="false">IF(ISNUMBER(K32),K32*$C$9,"n/a")</f>
        <v>3.89627846584099</v>
      </c>
      <c r="P32" s="52" t="n">
        <f aca="false">IF(ISNUMBER(M32),M32*$C$8-O32*(1-F32),"n/a")</f>
        <v>7.59774300838993</v>
      </c>
      <c r="Q32" s="54" t="str">
        <f aca="false">IF(AND(ISNUMBER(P32),ISNUMBER(H32)),P32/H32,"enter market cap")</f>
        <v>enter market cap</v>
      </c>
      <c r="R32" s="55" t="str">
        <f aca="false">IF('G&amp;A_Screen'!V24="N","Excluded from ranking — partial G&amp;A line",IF(NOT(ISNUMBER(E32)),"Data gap",IF(E32=0,"At or below benchmark",IF(F32&gt;=0.7,"Mostly absorbed by UK tax — weak activism case",IF(ISNUMBER(Q32),IF(Q32&gt;0.1,"Material vs market cap — shortlist","Immaterial vs market cap"),"Needs market cap")))))</f>
        <v>Needs market cap</v>
      </c>
    </row>
    <row r="33" customFormat="false" ht="15" hidden="false" customHeight="true" outlineLevel="0" collapsed="false">
      <c r="A33" s="29" t="str">
        <f aca="false">'G&amp;A_Screen'!A25</f>
        <v>Star Energy Group</v>
      </c>
      <c r="B33" s="30" t="n">
        <f aca="false">'G&amp;A_Screen'!D25</f>
        <v>0.68839</v>
      </c>
      <c r="C33" s="30" t="n">
        <f aca="false">'G&amp;A_Screen'!F25</f>
        <v>5.89</v>
      </c>
      <c r="D33" s="52" t="n">
        <f aca="false">IF(ISNUMBER(B33),$C$4*B33,"n/a")</f>
        <v>1.94967039552537</v>
      </c>
      <c r="E33" s="52" t="n">
        <f aca="false">IF(AND(ISNUMBER(C33),ISNUMBER(D33)),MAX(0,C33-D33),"n/a")</f>
        <v>3.94032960447463</v>
      </c>
      <c r="F33" s="53" t="n">
        <f aca="false">INDEX(Normalisation!$I$5:$I$25,MATCH(A33,Normalisation!$A$5:$A$25,0))</f>
        <v>0.78</v>
      </c>
      <c r="G33" s="26"/>
      <c r="H33" s="52" t="str">
        <f aca="false">IF(ISNUMBER(G33),G33*$C$10,"n/a")</f>
        <v>n/a</v>
      </c>
      <c r="I33" s="30" t="n">
        <f aca="false">IFERROR(INDEX(Raw_Data!$N$5:$N$46,MATCH(A33&amp;"|"&amp;'G&amp;A_Screen'!$C$3,Raw_Data!$A$5:$A$46,0)),"n/a")</f>
        <v>10.2</v>
      </c>
      <c r="J33" s="52" t="n">
        <f aca="false">IF(ISNUMBER(E33),E33*$C$5,"n/a")</f>
        <v>0.985082401118658</v>
      </c>
      <c r="K33" s="52" t="n">
        <f aca="false">IF(ISNUMBER(E33),E33*$C$6,"n/a")</f>
        <v>1.97016480223732</v>
      </c>
      <c r="L33" s="52" t="n">
        <f aca="false">IF(ISNUMBER(E33),E33*$C$7,"n/a")</f>
        <v>2.95524720335597</v>
      </c>
      <c r="M33" s="52" t="n">
        <f aca="false">IF(ISNUMBER(K33),K33*(1-F33),"n/a")</f>
        <v>0.433436256492209</v>
      </c>
      <c r="N33" s="54" t="n">
        <f aca="false">IF(AND(ISNUMBER(K33),ISNUMBER(I33)),K33/I33,"n/a")</f>
        <v>0.193153411984051</v>
      </c>
      <c r="O33" s="52" t="n">
        <f aca="false">IF(ISNUMBER(K33),K33*$C$9,"n/a")</f>
        <v>1.97016480223732</v>
      </c>
      <c r="P33" s="52" t="n">
        <f aca="false">IF(ISNUMBER(M33),M33*$C$8-O33*(1-F33),"n/a")</f>
        <v>1.30030876947663</v>
      </c>
      <c r="Q33" s="54" t="str">
        <f aca="false">IF(AND(ISNUMBER(P33),ISNUMBER(H33)),P33/H33,"enter market cap")</f>
        <v>enter market cap</v>
      </c>
      <c r="R33" s="55" t="str">
        <f aca="false">IF('G&amp;A_Screen'!V25="N","Excluded from ranking — partial G&amp;A line",IF(NOT(ISNUMBER(E33)),"Data gap",IF(E33=0,"At or below benchmark",IF(F33&gt;=0.7,"Mostly absorbed by UK tax — weak activism case",IF(ISNUMBER(Q33),IF(Q33&gt;0.1,"Material vs market cap — shortlist","Immaterial vs market cap"),"Needs market cap")))))</f>
        <v>Mostly absorbed by UK tax — weak activism case</v>
      </c>
    </row>
    <row r="34" customFormat="false" ht="15" hidden="false" customHeight="true" outlineLevel="0" collapsed="false">
      <c r="A34" s="29" t="str">
        <f aca="false">'G&amp;A_Screen'!A26</f>
        <v>Zephyr Energy</v>
      </c>
      <c r="B34" s="30" t="n">
        <f aca="false">'G&amp;A_Screen'!D26</f>
        <v>0.31536</v>
      </c>
      <c r="C34" s="30" t="n">
        <f aca="false">'G&amp;A_Screen'!F26</f>
        <v>5.835</v>
      </c>
      <c r="D34" s="52" t="n">
        <f aca="false">IF(ISNUMBER(B34),$C$4*B34,"n/a")</f>
        <v>0.893168198162205</v>
      </c>
      <c r="E34" s="52" t="n">
        <f aca="false">IF(AND(ISNUMBER(C34),ISNUMBER(D34)),MAX(0,C34-D34),"n/a")</f>
        <v>4.9418318018378</v>
      </c>
      <c r="F34" s="53" t="n">
        <f aca="false">INDEX(Normalisation!$I$5:$I$25,MATCH(A34,Normalisation!$A$5:$A$25,0))</f>
        <v>0.21</v>
      </c>
      <c r="G34" s="26"/>
      <c r="H34" s="52" t="str">
        <f aca="false">IF(ISNUMBER(G34),G34*$C$10,"n/a")</f>
        <v>n/a</v>
      </c>
      <c r="I34" s="30" t="n">
        <f aca="false">IFERROR(INDEX(Raw_Data!$N$5:$N$46,MATCH(A34&amp;"|"&amp;'G&amp;A_Screen'!$C$3,Raw_Data!$A$5:$A$46,0)),"n/a")</f>
        <v>1.7</v>
      </c>
      <c r="J34" s="52" t="n">
        <f aca="false">IF(ISNUMBER(E34),E34*$C$5,"n/a")</f>
        <v>1.23545795045945</v>
      </c>
      <c r="K34" s="52" t="n">
        <f aca="false">IF(ISNUMBER(E34),E34*$C$6,"n/a")</f>
        <v>2.4709159009189</v>
      </c>
      <c r="L34" s="52" t="n">
        <f aca="false">IF(ISNUMBER(E34),E34*$C$7,"n/a")</f>
        <v>3.70637385137835</v>
      </c>
      <c r="M34" s="52" t="n">
        <f aca="false">IF(ISNUMBER(K34),K34*(1-F34),"n/a")</f>
        <v>1.95202356172593</v>
      </c>
      <c r="N34" s="54" t="n">
        <f aca="false">IF(AND(ISNUMBER(K34),ISNUMBER(I34)),K34/I34,"n/a")</f>
        <v>1.453479941717</v>
      </c>
      <c r="O34" s="52" t="n">
        <f aca="false">IF(ISNUMBER(K34),K34*$C$9,"n/a")</f>
        <v>2.4709159009189</v>
      </c>
      <c r="P34" s="52" t="n">
        <f aca="false">IF(ISNUMBER(M34),M34*$C$8-O34*(1-F34),"n/a")</f>
        <v>5.85607068517779</v>
      </c>
      <c r="Q34" s="54" t="str">
        <f aca="false">IF(AND(ISNUMBER(P34),ISNUMBER(H34)),P34/H34,"enter market cap")</f>
        <v>enter market cap</v>
      </c>
      <c r="R34" s="55" t="str">
        <f aca="false">IF('G&amp;A_Screen'!V26="N","Excluded from ranking — partial G&amp;A line",IF(NOT(ISNUMBER(E34)),"Data gap",IF(E34=0,"At or below benchmark",IF(F34&gt;=0.7,"Mostly absorbed by UK tax — weak activism case",IF(ISNUMBER(Q34),IF(Q34&gt;0.1,"Material vs market cap — shortlist","Immaterial vs market cap"),"Needs market cap")))))</f>
        <v>Needs market cap</v>
      </c>
    </row>
    <row r="37" customFormat="false" ht="15" hidden="false" customHeight="true" outlineLevel="0" collapsed="false">
      <c r="A37" s="4" t="s">
        <v>415</v>
      </c>
    </row>
    <row r="38" customFormat="false" ht="42" hidden="false" customHeight="true" outlineLevel="0" collapsed="false">
      <c r="A38" s="28" t="s">
        <v>31</v>
      </c>
      <c r="B38" s="28" t="s">
        <v>416</v>
      </c>
      <c r="C38" s="28" t="s">
        <v>353</v>
      </c>
      <c r="D38" s="28" t="s">
        <v>400</v>
      </c>
      <c r="E38" s="28" t="s">
        <v>401</v>
      </c>
      <c r="F38" s="28" t="s">
        <v>417</v>
      </c>
      <c r="G38" s="28" t="s">
        <v>403</v>
      </c>
      <c r="H38" s="28" t="s">
        <v>404</v>
      </c>
      <c r="I38" s="28"/>
      <c r="J38" s="28" t="s">
        <v>418</v>
      </c>
      <c r="K38" s="28" t="s">
        <v>419</v>
      </c>
      <c r="L38" s="28" t="s">
        <v>420</v>
      </c>
      <c r="M38" s="28" t="s">
        <v>409</v>
      </c>
      <c r="N38" s="28"/>
      <c r="O38" s="28" t="s">
        <v>411</v>
      </c>
      <c r="P38" s="28" t="s">
        <v>421</v>
      </c>
      <c r="Q38" s="28" t="s">
        <v>413</v>
      </c>
      <c r="R38" s="28" t="s">
        <v>414</v>
      </c>
    </row>
    <row r="39" customFormat="false" ht="23.25" hidden="false" customHeight="true" outlineLevel="0" collapsed="false">
      <c r="A39" s="18" t="s">
        <v>63</v>
      </c>
      <c r="B39" s="30" t="n">
        <f aca="false">'G&amp;A_Screen'!X7*365/1000000</f>
        <v>4.5625</v>
      </c>
      <c r="C39" s="30" t="n">
        <f aca="false">'G&amp;A_Screen'!Y7</f>
        <v>56.873</v>
      </c>
      <c r="D39" s="52" t="n">
        <f aca="false">$C$4*B39</f>
        <v>12.9219936076708</v>
      </c>
      <c r="E39" s="52" t="n">
        <f aca="false">MAX(0,C39-D39)</f>
        <v>43.9510063923292</v>
      </c>
      <c r="F39" s="54" t="n">
        <f aca="false">F15</f>
        <v>0.25</v>
      </c>
      <c r="G39" s="39" t="n">
        <f aca="false">G15</f>
        <v>0</v>
      </c>
      <c r="H39" s="52" t="str">
        <f aca="false">IF(ISNUMBER(G39),IF(G39&gt;0,G39*$C$10,"n/a"),"n/a")</f>
        <v>n/a</v>
      </c>
      <c r="I39" s="55"/>
      <c r="J39" s="52" t="n">
        <f aca="false">E39*$C$5</f>
        <v>10.9877515980823</v>
      </c>
      <c r="K39" s="52" t="n">
        <f aca="false">E39*$C$6</f>
        <v>21.9755031961646</v>
      </c>
      <c r="L39" s="52" t="n">
        <f aca="false">E39*$C$7</f>
        <v>32.9632547942469</v>
      </c>
      <c r="M39" s="52" t="n">
        <f aca="false">K39*(1-F39)</f>
        <v>16.4816273971235</v>
      </c>
      <c r="N39" s="55"/>
      <c r="O39" s="52" t="n">
        <f aca="false">K39*$C$9</f>
        <v>21.9755031961646</v>
      </c>
      <c r="P39" s="52" t="n">
        <f aca="false">M39*$C$8-O39*(1-F39)</f>
        <v>49.4448821913704</v>
      </c>
      <c r="Q39" s="54" t="str">
        <f aca="false">IF(ISNUMBER(H39),P39/H39,"enter market cap above")</f>
        <v>enter market cap above</v>
      </c>
      <c r="R39" s="46" t="s">
        <v>422</v>
      </c>
    </row>
    <row r="40" customFormat="false" ht="23.25" hidden="false" customHeight="true" outlineLevel="0" collapsed="false">
      <c r="A40" s="18" t="s">
        <v>126</v>
      </c>
      <c r="B40" s="30" t="n">
        <f aca="false">'G&amp;A_Screen'!X15*365/1000000</f>
        <v>7.3</v>
      </c>
      <c r="C40" s="30" t="n">
        <f aca="false">'G&amp;A_Screen'!Y15</f>
        <v>26.186</v>
      </c>
      <c r="D40" s="52" t="n">
        <f aca="false">$C$4*B40</f>
        <v>20.6751897722733</v>
      </c>
      <c r="E40" s="52" t="n">
        <f aca="false">MAX(0,C40-D40)</f>
        <v>5.51081022772673</v>
      </c>
      <c r="F40" s="54" t="n">
        <f aca="false">F23</f>
        <v>0.5</v>
      </c>
      <c r="G40" s="39" t="n">
        <f aca="false">G23</f>
        <v>0</v>
      </c>
      <c r="H40" s="52" t="str">
        <f aca="false">IF(ISNUMBER(G40),IF(G40&gt;0,G40*$C$10,"n/a"),"n/a")</f>
        <v>n/a</v>
      </c>
      <c r="I40" s="55"/>
      <c r="J40" s="52" t="n">
        <f aca="false">E40*$C$5</f>
        <v>1.37770255693168</v>
      </c>
      <c r="K40" s="52" t="n">
        <f aca="false">E40*$C$6</f>
        <v>2.75540511386336</v>
      </c>
      <c r="L40" s="52" t="n">
        <f aca="false">E40*$C$7</f>
        <v>4.13310767079505</v>
      </c>
      <c r="M40" s="52" t="n">
        <f aca="false">K40*(1-F40)</f>
        <v>1.37770255693168</v>
      </c>
      <c r="N40" s="55"/>
      <c r="O40" s="52" t="n">
        <f aca="false">K40*$C$9</f>
        <v>2.75540511386336</v>
      </c>
      <c r="P40" s="52" t="n">
        <f aca="false">M40*$C$8-O40*(1-F40)</f>
        <v>4.13310767079505</v>
      </c>
      <c r="Q40" s="54" t="str">
        <f aca="false">IF(ISNUMBER(H40),P40/H40,"enter market cap above")</f>
        <v>enter market cap above</v>
      </c>
      <c r="R40" s="46" t="s">
        <v>423</v>
      </c>
    </row>
    <row r="41" customFormat="false" ht="23.25" hidden="false" customHeight="true" outlineLevel="0" collapsed="false">
      <c r="A41" s="18" t="s">
        <v>157</v>
      </c>
      <c r="B41" s="30" t="n">
        <f aca="false">'G&amp;A_Screen'!X19*365/1000000</f>
        <v>13.70356</v>
      </c>
      <c r="C41" s="30" t="n">
        <f aca="false">'G&amp;A_Screen'!Y19</f>
        <v>43.8</v>
      </c>
      <c r="D41" s="52" t="n">
        <f aca="false">$C$4*B41</f>
        <v>38.8114662405114</v>
      </c>
      <c r="E41" s="52" t="n">
        <f aca="false">MAX(0,C41-D41)</f>
        <v>4.98853375948862</v>
      </c>
      <c r="F41" s="54" t="n">
        <f aca="false">F27</f>
        <v>0</v>
      </c>
      <c r="G41" s="39" t="n">
        <f aca="false">G27</f>
        <v>0</v>
      </c>
      <c r="H41" s="52" t="str">
        <f aca="false">IF(ISNUMBER(G41),IF(G41&gt;0,G41*$C$10,"n/a"),"n/a")</f>
        <v>n/a</v>
      </c>
      <c r="I41" s="55"/>
      <c r="J41" s="52" t="n">
        <f aca="false">E41*$C$5</f>
        <v>1.24713343987215</v>
      </c>
      <c r="K41" s="52" t="n">
        <f aca="false">E41*$C$6</f>
        <v>2.49426687974431</v>
      </c>
      <c r="L41" s="52" t="n">
        <f aca="false">E41*$C$7</f>
        <v>3.74140031961646</v>
      </c>
      <c r="M41" s="52" t="n">
        <f aca="false">K41*(1-F41)</f>
        <v>2.49426687974431</v>
      </c>
      <c r="N41" s="55"/>
      <c r="O41" s="52" t="n">
        <f aca="false">K41*$C$9</f>
        <v>2.49426687974431</v>
      </c>
      <c r="P41" s="52" t="n">
        <f aca="false">M41*$C$8-O41*(1-F41)</f>
        <v>7.48280063923293</v>
      </c>
      <c r="Q41" s="54" t="str">
        <f aca="false">IF(ISNUMBER(H41),P41/H41,"enter market cap above")</f>
        <v>enter market cap above</v>
      </c>
      <c r="R41" s="46" t="s">
        <v>424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20"/>
  </cols>
  <sheetData>
    <row r="1" customFormat="false" ht="17.25" hidden="false" customHeight="true" outlineLevel="0" collapsed="false">
      <c r="A1" s="2" t="s">
        <v>425</v>
      </c>
    </row>
    <row r="3" customFormat="false" ht="15" hidden="false" customHeight="true" outlineLevel="0" collapsed="false">
      <c r="A3" s="4" t="s">
        <v>426</v>
      </c>
      <c r="B3" s="5"/>
    </row>
    <row r="4" customFormat="false" ht="15" hidden="false" customHeight="true" outlineLevel="0" collapsed="false">
      <c r="A4" s="6" t="s">
        <v>427</v>
      </c>
      <c r="B4" s="5" t="s">
        <v>428</v>
      </c>
    </row>
    <row r="5" customFormat="false" ht="15" hidden="false" customHeight="true" outlineLevel="0" collapsed="false">
      <c r="A5" s="6" t="s">
        <v>337</v>
      </c>
      <c r="B5" s="5" t="s">
        <v>429</v>
      </c>
    </row>
    <row r="6" customFormat="false" ht="23.25" hidden="false" customHeight="true" outlineLevel="0" collapsed="false">
      <c r="A6" s="6" t="s">
        <v>430</v>
      </c>
      <c r="B6" s="5" t="s">
        <v>431</v>
      </c>
    </row>
    <row r="7" customFormat="false" ht="34.5" hidden="false" customHeight="true" outlineLevel="0" collapsed="false">
      <c r="A7" s="6" t="s">
        <v>432</v>
      </c>
      <c r="B7" s="5" t="s">
        <v>433</v>
      </c>
    </row>
    <row r="8" customFormat="false" ht="15" hidden="false" customHeight="true" outlineLevel="0" collapsed="false">
      <c r="A8" s="6" t="s">
        <v>434</v>
      </c>
      <c r="B8" s="5" t="s">
        <v>435</v>
      </c>
    </row>
    <row r="9" customFormat="false" ht="23.25" hidden="false" customHeight="true" outlineLevel="0" collapsed="false">
      <c r="A9" s="6" t="s">
        <v>436</v>
      </c>
      <c r="B9" s="5" t="s">
        <v>437</v>
      </c>
    </row>
    <row r="10" customFormat="false" ht="23.25" hidden="false" customHeight="true" outlineLevel="0" collapsed="false">
      <c r="A10" s="6" t="s">
        <v>438</v>
      </c>
      <c r="B10" s="5" t="s">
        <v>439</v>
      </c>
    </row>
    <row r="11" customFormat="false" ht="23.25" hidden="false" customHeight="true" outlineLevel="0" collapsed="false">
      <c r="A11" s="6" t="s">
        <v>440</v>
      </c>
      <c r="B11" s="5" t="s">
        <v>441</v>
      </c>
    </row>
    <row r="12" customFormat="false" ht="15" hidden="false" customHeight="true" outlineLevel="0" collapsed="false">
      <c r="A12" s="6" t="s">
        <v>442</v>
      </c>
      <c r="B12" s="5" t="s">
        <v>443</v>
      </c>
    </row>
    <row r="13" customFormat="false" ht="23.25" hidden="false" customHeight="true" outlineLevel="0" collapsed="false">
      <c r="A13" s="6" t="s">
        <v>444</v>
      </c>
      <c r="B13" s="5" t="s">
        <v>445</v>
      </c>
    </row>
    <row r="14" customFormat="false" ht="15" hidden="false" customHeight="true" outlineLevel="0" collapsed="false">
      <c r="A14" s="4"/>
      <c r="B14" s="5"/>
    </row>
    <row r="15" customFormat="false" ht="15" hidden="false" customHeight="true" outlineLevel="0" collapsed="false">
      <c r="A15" s="4" t="s">
        <v>446</v>
      </c>
      <c r="B15" s="5"/>
    </row>
    <row r="16" customFormat="false" ht="23.25" hidden="false" customHeight="true" outlineLevel="0" collapsed="false">
      <c r="A16" s="6" t="s">
        <v>447</v>
      </c>
      <c r="B16" s="5" t="s">
        <v>448</v>
      </c>
    </row>
    <row r="17" customFormat="false" ht="23.25" hidden="false" customHeight="true" outlineLevel="0" collapsed="false">
      <c r="A17" s="6" t="s">
        <v>449</v>
      </c>
      <c r="B17" s="5" t="s">
        <v>450</v>
      </c>
    </row>
    <row r="18" customFormat="false" ht="15" hidden="false" customHeight="true" outlineLevel="0" collapsed="false">
      <c r="A18" s="6" t="s">
        <v>451</v>
      </c>
      <c r="B18" s="5" t="s">
        <v>452</v>
      </c>
    </row>
    <row r="19" customFormat="false" ht="23.25" hidden="false" customHeight="true" outlineLevel="0" collapsed="false">
      <c r="A19" s="6" t="s">
        <v>453</v>
      </c>
      <c r="B19" s="5" t="s">
        <v>454</v>
      </c>
    </row>
    <row r="20" customFormat="false" ht="15" hidden="false" customHeight="true" outlineLevel="0" collapsed="false">
      <c r="A20" s="4"/>
      <c r="B20" s="5"/>
    </row>
    <row r="21" customFormat="false" ht="15" hidden="false" customHeight="true" outlineLevel="0" collapsed="false">
      <c r="A21" s="4" t="s">
        <v>455</v>
      </c>
      <c r="B21" s="5"/>
    </row>
    <row r="22" customFormat="false" ht="15" hidden="false" customHeight="true" outlineLevel="0" collapsed="false">
      <c r="A22" s="5" t="s">
        <v>52</v>
      </c>
      <c r="B22" s="56" t="s">
        <v>58</v>
      </c>
    </row>
    <row r="23" customFormat="false" ht="15" hidden="false" customHeight="true" outlineLevel="0" collapsed="false">
      <c r="A23" s="5" t="s">
        <v>64</v>
      </c>
      <c r="B23" s="56" t="s">
        <v>456</v>
      </c>
    </row>
    <row r="24" customFormat="false" ht="15" hidden="false" customHeight="true" outlineLevel="0" collapsed="false">
      <c r="A24" s="5" t="s">
        <v>72</v>
      </c>
      <c r="B24" s="56" t="s">
        <v>457</v>
      </c>
    </row>
    <row r="25" customFormat="false" ht="15" hidden="false" customHeight="true" outlineLevel="0" collapsed="false">
      <c r="A25" s="5" t="s">
        <v>82</v>
      </c>
      <c r="B25" s="56" t="s">
        <v>83</v>
      </c>
    </row>
    <row r="26" customFormat="false" ht="15" hidden="false" customHeight="true" outlineLevel="0" collapsed="false">
      <c r="A26" s="5" t="s">
        <v>87</v>
      </c>
      <c r="B26" s="56" t="s">
        <v>458</v>
      </c>
    </row>
    <row r="27" customFormat="false" ht="15" hidden="false" customHeight="true" outlineLevel="0" collapsed="false">
      <c r="A27" s="5" t="s">
        <v>459</v>
      </c>
      <c r="B27" s="56" t="s">
        <v>460</v>
      </c>
    </row>
    <row r="28" customFormat="false" ht="15" hidden="false" customHeight="true" outlineLevel="0" collapsed="false">
      <c r="A28" s="5" t="s">
        <v>94</v>
      </c>
      <c r="B28" s="56" t="s">
        <v>96</v>
      </c>
    </row>
    <row r="29" customFormat="false" ht="15" hidden="false" customHeight="true" outlineLevel="0" collapsed="false">
      <c r="A29" s="5" t="s">
        <v>100</v>
      </c>
      <c r="B29" s="56" t="s">
        <v>102</v>
      </c>
    </row>
    <row r="30" customFormat="false" ht="15" hidden="false" customHeight="true" outlineLevel="0" collapsed="false">
      <c r="A30" s="5" t="s">
        <v>461</v>
      </c>
      <c r="B30" s="56" t="s">
        <v>462</v>
      </c>
    </row>
    <row r="31" customFormat="false" ht="15" hidden="false" customHeight="true" outlineLevel="0" collapsed="false">
      <c r="A31" s="5" t="s">
        <v>463</v>
      </c>
      <c r="B31" s="56" t="s">
        <v>464</v>
      </c>
    </row>
    <row r="32" customFormat="false" ht="15" hidden="false" customHeight="true" outlineLevel="0" collapsed="false">
      <c r="A32" s="5" t="s">
        <v>107</v>
      </c>
      <c r="B32" s="56" t="s">
        <v>465</v>
      </c>
    </row>
    <row r="33" customFormat="false" ht="15" hidden="false" customHeight="true" outlineLevel="0" collapsed="false">
      <c r="A33" s="5" t="s">
        <v>118</v>
      </c>
      <c r="B33" s="56" t="s">
        <v>121</v>
      </c>
    </row>
    <row r="34" customFormat="false" ht="15" hidden="false" customHeight="true" outlineLevel="0" collapsed="false">
      <c r="A34" s="5" t="s">
        <v>466</v>
      </c>
      <c r="B34" s="56" t="s">
        <v>124</v>
      </c>
    </row>
    <row r="35" customFormat="false" ht="15" hidden="false" customHeight="true" outlineLevel="0" collapsed="false">
      <c r="A35" s="5" t="s">
        <v>127</v>
      </c>
      <c r="B35" s="56" t="s">
        <v>129</v>
      </c>
    </row>
    <row r="36" customFormat="false" ht="15" hidden="false" customHeight="true" outlineLevel="0" collapsed="false">
      <c r="A36" s="5" t="s">
        <v>467</v>
      </c>
      <c r="B36" s="56" t="s">
        <v>131</v>
      </c>
    </row>
    <row r="37" customFormat="false" ht="15" hidden="false" customHeight="true" outlineLevel="0" collapsed="false">
      <c r="A37" s="5" t="s">
        <v>134</v>
      </c>
      <c r="B37" s="56" t="s">
        <v>468</v>
      </c>
    </row>
    <row r="38" customFormat="false" ht="15" hidden="false" customHeight="true" outlineLevel="0" collapsed="false">
      <c r="A38" s="5" t="s">
        <v>469</v>
      </c>
      <c r="B38" s="56" t="s">
        <v>136</v>
      </c>
    </row>
    <row r="39" customFormat="false" ht="15" hidden="false" customHeight="true" outlineLevel="0" collapsed="false">
      <c r="A39" s="5" t="s">
        <v>470</v>
      </c>
      <c r="B39" s="56" t="s">
        <v>68</v>
      </c>
    </row>
    <row r="40" customFormat="false" ht="15" hidden="false" customHeight="true" outlineLevel="0" collapsed="false">
      <c r="A40" s="5" t="s">
        <v>471</v>
      </c>
      <c r="B40" s="56" t="s">
        <v>472</v>
      </c>
    </row>
    <row r="41" customFormat="false" ht="15" hidden="false" customHeight="true" outlineLevel="0" collapsed="false">
      <c r="A41" s="5" t="s">
        <v>473</v>
      </c>
      <c r="B41" s="56" t="s">
        <v>474</v>
      </c>
    </row>
    <row r="42" customFormat="false" ht="15" hidden="false" customHeight="true" outlineLevel="0" collapsed="false">
      <c r="A42" s="5" t="s">
        <v>475</v>
      </c>
      <c r="B42" s="56" t="s">
        <v>476</v>
      </c>
    </row>
    <row r="43" customFormat="false" ht="15" hidden="false" customHeight="true" outlineLevel="0" collapsed="false">
      <c r="A43" s="5" t="s">
        <v>477</v>
      </c>
      <c r="B43" s="56" t="s">
        <v>76</v>
      </c>
    </row>
    <row r="44" customFormat="false" ht="15" hidden="false" customHeight="true" outlineLevel="0" collapsed="false">
      <c r="A44" s="5" t="s">
        <v>478</v>
      </c>
      <c r="B44" s="56" t="s">
        <v>479</v>
      </c>
    </row>
    <row r="45" customFormat="false" ht="15" hidden="false" customHeight="true" outlineLevel="0" collapsed="false">
      <c r="A45" s="5" t="s">
        <v>480</v>
      </c>
      <c r="B45" s="56" t="s">
        <v>90</v>
      </c>
    </row>
    <row r="46" customFormat="false" ht="15" hidden="false" customHeight="true" outlineLevel="0" collapsed="false">
      <c r="A46" s="5" t="s">
        <v>481</v>
      </c>
      <c r="B46" s="56" t="s">
        <v>102</v>
      </c>
    </row>
    <row r="47" customFormat="false" ht="15" hidden="false" customHeight="true" outlineLevel="0" collapsed="false">
      <c r="A47" s="5" t="s">
        <v>482</v>
      </c>
      <c r="B47" s="56" t="s">
        <v>483</v>
      </c>
    </row>
    <row r="48" customFormat="false" ht="15" hidden="false" customHeight="true" outlineLevel="0" collapsed="false">
      <c r="A48" s="5" t="s">
        <v>484</v>
      </c>
      <c r="B48" s="56" t="s">
        <v>111</v>
      </c>
    </row>
    <row r="49" customFormat="false" ht="15" hidden="false" customHeight="true" outlineLevel="0" collapsed="false">
      <c r="A49" s="5" t="s">
        <v>485</v>
      </c>
      <c r="B49" s="56" t="s">
        <v>486</v>
      </c>
    </row>
    <row r="50" customFormat="false" ht="15" hidden="false" customHeight="true" outlineLevel="0" collapsed="false">
      <c r="A50" s="5" t="s">
        <v>140</v>
      </c>
      <c r="B50" s="56" t="s">
        <v>143</v>
      </c>
    </row>
    <row r="51" customFormat="false" ht="15" hidden="false" customHeight="true" outlineLevel="0" collapsed="false">
      <c r="A51" s="5" t="s">
        <v>148</v>
      </c>
      <c r="B51" s="56" t="s">
        <v>150</v>
      </c>
    </row>
    <row r="52" customFormat="false" ht="15" hidden="false" customHeight="true" outlineLevel="0" collapsed="false">
      <c r="A52" s="5" t="s">
        <v>487</v>
      </c>
      <c r="B52" s="56" t="s">
        <v>155</v>
      </c>
    </row>
    <row r="53" customFormat="false" ht="15" hidden="false" customHeight="true" outlineLevel="0" collapsed="false">
      <c r="A53" s="5" t="s">
        <v>158</v>
      </c>
      <c r="B53" s="56" t="s">
        <v>161</v>
      </c>
    </row>
    <row r="54" customFormat="false" ht="15" hidden="false" customHeight="true" outlineLevel="0" collapsed="false">
      <c r="A54" s="5" t="s">
        <v>166</v>
      </c>
      <c r="B54" s="56" t="s">
        <v>169</v>
      </c>
    </row>
    <row r="55" customFormat="false" ht="15" hidden="false" customHeight="true" outlineLevel="0" collapsed="false">
      <c r="A55" s="5" t="s">
        <v>174</v>
      </c>
      <c r="B55" s="56" t="s">
        <v>178</v>
      </c>
    </row>
    <row r="56" customFormat="false" ht="15" hidden="false" customHeight="true" outlineLevel="0" collapsed="false">
      <c r="A56" s="5" t="s">
        <v>488</v>
      </c>
      <c r="B56" s="56" t="s">
        <v>180</v>
      </c>
    </row>
    <row r="57" customFormat="false" ht="15" hidden="false" customHeight="true" outlineLevel="0" collapsed="false">
      <c r="A57" s="5" t="s">
        <v>183</v>
      </c>
      <c r="B57" s="56" t="s">
        <v>187</v>
      </c>
    </row>
    <row r="58" customFormat="false" ht="15" hidden="false" customHeight="true" outlineLevel="0" collapsed="false">
      <c r="A58" s="5" t="s">
        <v>192</v>
      </c>
      <c r="B58" s="56" t="s">
        <v>195</v>
      </c>
    </row>
    <row r="59" customFormat="false" ht="15" hidden="false" customHeight="true" outlineLevel="0" collapsed="false">
      <c r="A59" s="5" t="s">
        <v>489</v>
      </c>
      <c r="B59" s="56" t="s">
        <v>197</v>
      </c>
    </row>
    <row r="60" customFormat="false" ht="15" hidden="false" customHeight="true" outlineLevel="0" collapsed="false">
      <c r="A60" s="5" t="s">
        <v>200</v>
      </c>
      <c r="B60" s="56" t="s">
        <v>203</v>
      </c>
    </row>
    <row r="61" customFormat="false" ht="15" hidden="false" customHeight="true" outlineLevel="0" collapsed="false">
      <c r="A61" s="5" t="s">
        <v>207</v>
      </c>
      <c r="B61" s="56" t="s">
        <v>212</v>
      </c>
    </row>
    <row r="62" customFormat="false" ht="15" hidden="false" customHeight="true" outlineLevel="0" collapsed="false">
      <c r="A62" s="5" t="s">
        <v>218</v>
      </c>
      <c r="B62" s="56" t="s">
        <v>221</v>
      </c>
    </row>
    <row r="63" customFormat="false" ht="15" hidden="false" customHeight="true" outlineLevel="0" collapsed="false">
      <c r="A63" s="5" t="s">
        <v>490</v>
      </c>
      <c r="B63" s="56" t="s">
        <v>223</v>
      </c>
    </row>
    <row r="64" customFormat="false" ht="15" hidden="false" customHeight="true" outlineLevel="0" collapsed="false">
      <c r="A64" s="5" t="s">
        <v>491</v>
      </c>
      <c r="B64" s="56" t="s">
        <v>309</v>
      </c>
    </row>
    <row r="65" customFormat="false" ht="15" hidden="false" customHeight="true" outlineLevel="0" collapsed="false">
      <c r="A65" s="5" t="s">
        <v>492</v>
      </c>
      <c r="B65" s="56" t="s">
        <v>312</v>
      </c>
    </row>
  </sheetData>
  <hyperlinks>
    <hyperlink ref="B22" r:id="rId1" display="https://data.fca.org.uk/artefacts/NSM/RNS/d1abc513-bcc2-473c-babe-6e01494880ab.html"/>
    <hyperlink ref="B23" r:id="rId2" display="https://www.sec.gov/Archives/edgar/data/1273441/000127344126000010/gte-20251231.htm"/>
    <hyperlink ref="B24" r:id="rId3" display="https://www.investegate.co.uk/announcement/rns/enquest--enq/results-for-the-year-ended-31-december-2025/9490315"/>
    <hyperlink ref="B25" r:id="rId4" display="https://www.investegate.co.uk/announcement/rns/serica-energy--sqz/2025-full-year-results/9492556"/>
    <hyperlink ref="B26" r:id="rId5" display="https://data.fca.org.uk/artefacts/NSM/RNS/5aeceb53-96ed-46ad-8082-ca5ebcd5c70c.html"/>
    <hyperlink ref="B27" r:id="rId6" display="https://stockanalysis.com/quote/lon/ITH/financials/income-statement/"/>
    <hyperlink ref="B28" r:id="rId7" display="https://www.investegate.co.uk/announcement/rns/energean--enog/2025-full-year-results/9481429"/>
    <hyperlink ref="B29" r:id="rId8" display="https://www.tullowoil.com/application/files/7517/7737/0156/Tullow_Oil_Plc_-_2025_FY_Report.pdf"/>
    <hyperlink ref="B30" r:id="rId9" display="https://www.tullowoil.com/application/files/5717/7157/0363/Tullow_-_Trading_Statement_-_RNS.pdf"/>
    <hyperlink ref="B31" r:id="rId10" display="https://stockanalysis.com/quote/lon/TLW/financials/income-statement/"/>
    <hyperlink ref="B32" r:id="rId11" display="https://www.gulfkeystone.com/2025-full-year-results-announcement/"/>
    <hyperlink ref="B33" r:id="rId12" display="https://www.energy-pedia.com/news/general/jadestone-energy-announces-2025-full-year-results-203965"/>
    <hyperlink ref="B34" r:id="rId13" display="https://www.jadestone-energy.com/wp-content/uploads/2024/06/20250520-Jadestone-2024-Full-Year-Results-Statement-vF.pdf"/>
    <hyperlink ref="B35" r:id="rId14" display="https://www.stockopedia.com/share-prices/kistos-holdings-LON:KIST/news/urn:newsml:reuters.com:20260626:nRSZ8551Ja"/>
    <hyperlink ref="B36" r:id="rId15" display="https://www.ajbell.co.uk/news/articles/kistos-loss-widens-production-rate-and-prices-decline-during-2024"/>
    <hyperlink ref="B37" r:id="rId16" display="https://www.pharos.energy/media/1lfppa0o/pharos-annual-report-accounts-2025-web.pdf"/>
    <hyperlink ref="B38" r:id="rId17" display="https://www.pharos.energy/media/tzsd1ce1/phar-2025-preliminary-results_25032026.pdf"/>
    <hyperlink ref="B39" r:id="rId18" display="https://mfn.se/all/a/gran-tierra-energy/gran-tierra-energy-inc-announces-2025-fourth-quarter-and-year-end-results-1fd36e17"/>
    <hyperlink ref="B40" r:id="rId19" display="https://www.sec.gov/Archives/edgar/data/0001273441/000110465926090711/tm2622187d1_ex99-1.htm"/>
    <hyperlink ref="B41" r:id="rId20" display="https://www.sec.gov/Archives/edgar/data/0001273441/000119312526419229/d26546dex991.htm"/>
    <hyperlink ref="B42" r:id="rId21" display="https://www.sec.gov/Archives/edgar/data/0001273441/000127344126000029/a20260630-pressrelease.htm"/>
    <hyperlink ref="B43" r:id="rId22" display="https://www.enquest.com/fileadmin/content/Annual_Reports/Annual_Report_2025/50243_EnQuest_Annual_Report_2025_Financials.pdf"/>
    <hyperlink ref="B44" r:id="rId23" display="https://www.enquest.com/fileadmin/content/Annual_Reports/Annual_Report_2025/50243_EnQuest_Annual_Report_2025_Governance.pdf"/>
    <hyperlink ref="B45" r:id="rId24" display="https://investors.ithacaenergy.com/sites/ithaca-ir/files/2026-03/2025-year-end-financial-results.pdf"/>
    <hyperlink ref="B46" r:id="rId25" display="https://www.tullowoil.com/application/files/7517/7737/0156/Tullow_Oil_Plc_-_2025_FY_Report.pdf"/>
    <hyperlink ref="B47" r:id="rId26" display="https://www.tullowoil.com/application/files/3817/7752/9096/Tullow-Oil-plc-Annual-Report-and-Accounts-2025.pdf"/>
    <hyperlink ref="B48" r:id="rId27" display="https://www.investegate.co.uk/announcement/eqs/gulf-keystone-petroleum-ltd-com-shs-di---gkp/2025-full-year-results-announcement/9481598"/>
    <hyperlink ref="B49" r:id="rId28" display="https://www.investegate.co.uk/announcement/rns/kistos-holdings--kist/interim-results/9771745"/>
    <hyperlink ref="B50" r:id="rId29" display="https://d1io3yog0oux5.cloudfront.net/_cef0d36adf7f19b359a1f857a01b7c12/dgoc/db/556/6048/file/2025+IFRS+Financial+Statements+(FINAL).pdf"/>
    <hyperlink ref="B51" r:id="rId30" display="https://www.seplatenergy.com/media/qo5pqfso/fy-2025-results-investor-presentation_260226-1.pdf"/>
    <hyperlink ref="B52" r:id="rId31" display="https://www.investegate.co.uk/announcement/rns/seplat-energy-di---sepl/full-year-2024-financial-results-/8761385"/>
    <hyperlink ref="B53" r:id="rId32" display="https://www.eqs-news.com/news/uk-regulatory/genel-energy-plc-audited-results-for-the-year-ended-31-december-2025/15409e74-6afa-4c64-806d-6e2f8d959e2f_en"/>
    <hyperlink ref="B54" r:id="rId33" display="https://www.investegate.co.uk/announcement/rns/capricorn-energy--cne/full-year-results-announcement/9492533"/>
    <hyperlink ref="B55" r:id="rId34" display="https://www.investegate.co.uk/announcement/rns/afentra--aet/fy2025-annual-results-and-corporate-update/9565884"/>
    <hyperlink ref="B56" r:id="rId35" display="https://www.investegate.co.uk/announcement/rns/afentra--aet/final-results-/8843107"/>
    <hyperlink ref="B57" r:id="rId36" display="https://pdf.dfcfw.com/pdf/H22_AN202603311820910473_1.pdf"/>
    <hyperlink ref="B58" r:id="rId37" display="https://www.investegate.co.uk/announcement/rns/petrotal-corporation-npv-di---ptal/q4-and-full-year-2025-results/9492518"/>
    <hyperlink ref="B59" r:id="rId38" display="https://www.investegate.co.uk/announcement/rns/petrotal-corporation-npv-di---ptal/q4-and-full-year-2024-results/8788034"/>
    <hyperlink ref="B60" r:id="rId39" display="https://www.newsfilecorp.com/release/294750"/>
    <hyperlink ref="B61" r:id="rId40" display="https://www.investegate.co.uk/announcement/rns/star-energy-group-plc--star/final-results/9542878"/>
    <hyperlink ref="B62" r:id="rId41" display="https://www.investegate.co.uk/announcement/rns/zephyr-energy--zphr/final-results/9642999"/>
    <hyperlink ref="B63" r:id="rId42" display="https://www.investegate.co.uk/announcement/rns/zephyr-energy--zphr/final-results/8953325"/>
    <hyperlink ref="B64" r:id="rId43" display="https://www.investegate.co.uk/announcement/rns/enwell-energy--enw/2025-audited-results/9565091"/>
    <hyperlink ref="B65" r:id="rId44" display="https://www.investegate.co.uk/announcement/rns/savannah-energy--save/operational-and-financial-update/9799824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9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8" min="8" style="1" width="15"/>
  </cols>
  <sheetData>
    <row r="1" customFormat="false" ht="15.75" hidden="false" customHeight="true" outlineLevel="0" collapsed="false">
      <c r="A1" s="57" t="s">
        <v>493</v>
      </c>
    </row>
    <row r="2" customFormat="false" ht="15" hidden="false" customHeight="true" outlineLevel="0" collapsed="false">
      <c r="A2" s="3" t="s">
        <v>494</v>
      </c>
    </row>
    <row r="4" customFormat="false" ht="31.5" hidden="false" customHeight="true" outlineLevel="0" collapsed="false">
      <c r="A4" s="58" t="s">
        <v>31</v>
      </c>
      <c r="B4" s="58" t="s">
        <v>333</v>
      </c>
      <c r="C4" s="58" t="s">
        <v>495</v>
      </c>
      <c r="D4" s="58" t="s">
        <v>496</v>
      </c>
      <c r="E4" s="58" t="s">
        <v>497</v>
      </c>
      <c r="F4" s="58" t="s">
        <v>498</v>
      </c>
      <c r="G4" s="58" t="s">
        <v>499</v>
      </c>
      <c r="H4" s="58" t="s">
        <v>500</v>
      </c>
    </row>
    <row r="5" customFormat="false" ht="15" hidden="false" customHeight="true" outlineLevel="0" collapsed="false">
      <c r="A5" s="59" t="s">
        <v>51</v>
      </c>
      <c r="B5" s="60" t="n">
        <v>474000</v>
      </c>
      <c r="C5" s="60" t="n">
        <v>536</v>
      </c>
      <c r="D5" s="60" t="n">
        <v>458</v>
      </c>
      <c r="E5" s="59" t="n">
        <v>2.65</v>
      </c>
      <c r="F5" s="61" t="n">
        <v>0.045</v>
      </c>
      <c r="G5" s="61" t="n">
        <v>0.06</v>
      </c>
      <c r="H5" s="60" t="n">
        <v>233</v>
      </c>
    </row>
    <row r="6" customFormat="false" ht="15" hidden="false" customHeight="true" outlineLevel="0" collapsed="false">
      <c r="A6" s="59" t="s">
        <v>139</v>
      </c>
      <c r="B6" s="60" t="n">
        <v>181000</v>
      </c>
      <c r="C6" s="60" t="n">
        <v>162</v>
      </c>
      <c r="D6" s="60" t="n">
        <v>106.9</v>
      </c>
      <c r="E6" s="59" t="n">
        <v>1.62</v>
      </c>
      <c r="F6" s="61" t="n">
        <v>0.066</v>
      </c>
      <c r="G6" s="61" t="n">
        <v>0.101</v>
      </c>
      <c r="H6" s="60" t="n">
        <v>95.1</v>
      </c>
    </row>
    <row r="7" customFormat="false" ht="15" hidden="false" customHeight="true" outlineLevel="0" collapsed="false">
      <c r="A7" s="59" t="s">
        <v>93</v>
      </c>
      <c r="B7" s="60" t="n">
        <v>154000</v>
      </c>
      <c r="C7" s="60" t="n">
        <v>53.6</v>
      </c>
      <c r="D7" s="60" t="n">
        <v>53.6</v>
      </c>
      <c r="E7" s="59" t="n">
        <v>0.95</v>
      </c>
      <c r="F7" s="61" t="n">
        <v>0.031</v>
      </c>
      <c r="G7" s="61" t="n">
        <v>0.046</v>
      </c>
      <c r="H7" s="60" t="n">
        <v>51</v>
      </c>
    </row>
    <row r="8" customFormat="false" ht="15" hidden="false" customHeight="true" outlineLevel="0" collapsed="false">
      <c r="A8" s="59" t="s">
        <v>147</v>
      </c>
      <c r="B8" s="60" t="n">
        <v>131506</v>
      </c>
      <c r="C8" s="60" t="n">
        <v>249.5</v>
      </c>
      <c r="D8" s="60" t="n">
        <v>249.5</v>
      </c>
      <c r="E8" s="59" t="n">
        <v>5.2</v>
      </c>
      <c r="F8" s="61" t="n">
        <v>0.092</v>
      </c>
      <c r="G8" s="61" t="n">
        <v>0.164</v>
      </c>
      <c r="H8" s="60" t="n">
        <v>145.7</v>
      </c>
    </row>
    <row r="9" customFormat="false" ht="15" hidden="false" customHeight="true" outlineLevel="0" collapsed="false">
      <c r="A9" s="59" t="s">
        <v>86</v>
      </c>
      <c r="B9" s="60" t="n">
        <v>119000</v>
      </c>
      <c r="C9" s="60" t="n">
        <v>47.3</v>
      </c>
      <c r="D9" s="60" t="n">
        <v>43.5</v>
      </c>
      <c r="E9" s="59" t="n">
        <v>1</v>
      </c>
      <c r="F9" s="61" t="n">
        <v>0.015</v>
      </c>
      <c r="G9" s="61" t="n">
        <v>0.021</v>
      </c>
      <c r="H9" s="60" t="n">
        <v>41</v>
      </c>
    </row>
    <row r="10" customFormat="false" ht="15" hidden="false" customHeight="true" outlineLevel="0" collapsed="false">
      <c r="A10" s="59" t="s">
        <v>63</v>
      </c>
      <c r="B10" s="60" t="n">
        <v>45709</v>
      </c>
      <c r="C10" s="60" t="n">
        <v>60.1</v>
      </c>
      <c r="D10" s="60" t="n">
        <v>60.1</v>
      </c>
      <c r="E10" s="59" t="n">
        <v>3.6</v>
      </c>
      <c r="F10" s="61" t="n">
        <v>0.101</v>
      </c>
      <c r="G10" s="61" t="n">
        <v>0.175</v>
      </c>
      <c r="H10" s="60" t="n">
        <v>51.1</v>
      </c>
    </row>
    <row r="11" customFormat="false" ht="15" hidden="false" customHeight="true" outlineLevel="0" collapsed="false">
      <c r="A11" s="59" t="s">
        <v>501</v>
      </c>
      <c r="B11" s="60" t="n">
        <v>42945</v>
      </c>
      <c r="C11" s="60" t="n">
        <v>7.5</v>
      </c>
      <c r="D11" s="60" t="n">
        <v>7.5</v>
      </c>
      <c r="E11" s="59" t="n">
        <v>0.48</v>
      </c>
      <c r="F11" s="61" t="n">
        <v>0.007</v>
      </c>
      <c r="G11" s="61" t="n">
        <v>0.015</v>
      </c>
      <c r="H11" s="60" t="n">
        <v>5.7</v>
      </c>
    </row>
    <row r="12" customFormat="false" ht="15" hidden="false" customHeight="true" outlineLevel="0" collapsed="false">
      <c r="A12" s="59" t="s">
        <v>502</v>
      </c>
      <c r="B12" s="60" t="n">
        <v>42945</v>
      </c>
      <c r="C12" s="60" t="n">
        <v>105.1</v>
      </c>
      <c r="D12" s="60" t="n">
        <v>105.1</v>
      </c>
      <c r="E12" s="59" t="n">
        <v>6.71</v>
      </c>
      <c r="F12" s="61" t="n">
        <v>0.094</v>
      </c>
      <c r="G12" s="61" t="n">
        <v>0.173</v>
      </c>
      <c r="H12" s="60" t="n">
        <v>108.6</v>
      </c>
    </row>
    <row r="13" customFormat="false" ht="15" hidden="false" customHeight="true" outlineLevel="0" collapsed="false">
      <c r="A13" s="59" t="s">
        <v>503</v>
      </c>
      <c r="B13" s="60" t="n">
        <v>40400</v>
      </c>
      <c r="C13" s="60" t="n">
        <v>45</v>
      </c>
      <c r="D13" s="60" t="n">
        <v>45</v>
      </c>
      <c r="E13" s="59" t="n">
        <v>3.05</v>
      </c>
      <c r="F13" s="61" t="n">
        <v>0.053</v>
      </c>
      <c r="G13" s="61" t="n">
        <v>0.071</v>
      </c>
      <c r="H13" s="60" t="n">
        <v>52.2</v>
      </c>
    </row>
    <row r="14" customFormat="false" ht="15" hidden="false" customHeight="true" outlineLevel="0" collapsed="false">
      <c r="A14" s="59" t="s">
        <v>504</v>
      </c>
      <c r="B14" s="60" t="n">
        <v>40400</v>
      </c>
      <c r="C14" s="60" t="n">
        <v>137</v>
      </c>
      <c r="D14" s="60" t="n">
        <v>137</v>
      </c>
      <c r="E14" s="59" t="n">
        <v>9.29</v>
      </c>
      <c r="F14" s="61" t="n">
        <v>0.162</v>
      </c>
      <c r="G14" s="61" t="n">
        <v>0.189</v>
      </c>
      <c r="H14" s="60" t="s">
        <v>505</v>
      </c>
    </row>
    <row r="15" customFormat="false" ht="15" hidden="false" customHeight="true" outlineLevel="0" collapsed="false">
      <c r="A15" s="59" t="s">
        <v>106</v>
      </c>
      <c r="B15" s="60" t="n">
        <v>33248</v>
      </c>
      <c r="C15" s="60" t="n">
        <v>16.3</v>
      </c>
      <c r="D15" s="60" t="n">
        <v>16.3</v>
      </c>
      <c r="E15" s="59" t="n">
        <v>1.34</v>
      </c>
      <c r="F15" s="61" t="n">
        <v>0.099</v>
      </c>
      <c r="G15" s="61" t="n">
        <v>0.127</v>
      </c>
      <c r="H15" s="60" t="n">
        <v>15.8</v>
      </c>
    </row>
    <row r="16" customFormat="false" ht="15" hidden="false" customHeight="true" outlineLevel="0" collapsed="false">
      <c r="A16" s="59" t="s">
        <v>81</v>
      </c>
      <c r="B16" s="60" t="n">
        <v>27600</v>
      </c>
      <c r="C16" s="60" t="n">
        <v>23.1</v>
      </c>
      <c r="D16" s="60" t="n">
        <v>23.1</v>
      </c>
      <c r="E16" s="59" t="n">
        <v>2.29</v>
      </c>
      <c r="F16" s="61" t="n">
        <v>0.038</v>
      </c>
      <c r="G16" s="61" t="n">
        <v>0.099</v>
      </c>
      <c r="H16" s="60" t="n">
        <v>21.6</v>
      </c>
    </row>
    <row r="17" customFormat="false" ht="15" hidden="false" customHeight="true" outlineLevel="0" collapsed="false">
      <c r="A17" s="59" t="s">
        <v>165</v>
      </c>
      <c r="B17" s="60" t="n">
        <v>20024</v>
      </c>
      <c r="C17" s="60" t="n">
        <v>24.9</v>
      </c>
      <c r="D17" s="60" t="n">
        <v>22.9</v>
      </c>
      <c r="E17" s="59" t="n">
        <v>3.13</v>
      </c>
      <c r="F17" s="61" t="n">
        <v>0.17</v>
      </c>
      <c r="G17" s="59" t="s">
        <v>506</v>
      </c>
      <c r="H17" s="60" t="n">
        <v>21.9</v>
      </c>
    </row>
    <row r="18" customFormat="false" ht="15" hidden="false" customHeight="true" outlineLevel="0" collapsed="false">
      <c r="A18" s="59" t="s">
        <v>117</v>
      </c>
      <c r="B18" s="60" t="n">
        <v>19829</v>
      </c>
      <c r="C18" s="60" t="s">
        <v>507</v>
      </c>
      <c r="D18" s="60" t="s">
        <v>505</v>
      </c>
      <c r="E18" s="59" t="s">
        <v>505</v>
      </c>
      <c r="F18" s="59" t="s">
        <v>505</v>
      </c>
      <c r="G18" s="59" t="s">
        <v>505</v>
      </c>
      <c r="H18" s="60" t="s">
        <v>505</v>
      </c>
    </row>
    <row r="19" customFormat="false" ht="15" hidden="false" customHeight="true" outlineLevel="0" collapsed="false">
      <c r="A19" s="59" t="s">
        <v>191</v>
      </c>
      <c r="B19" s="60" t="n">
        <v>19473</v>
      </c>
      <c r="C19" s="60" t="n">
        <v>29.5</v>
      </c>
      <c r="D19" s="60" t="n">
        <v>29.5</v>
      </c>
      <c r="E19" s="59" t="n">
        <v>4.15</v>
      </c>
      <c r="F19" s="61" t="n">
        <v>0.093</v>
      </c>
      <c r="G19" s="61" t="n">
        <v>0.151</v>
      </c>
      <c r="H19" s="60" t="n">
        <v>36.3</v>
      </c>
    </row>
    <row r="20" customFormat="false" ht="15" hidden="false" customHeight="true" outlineLevel="0" collapsed="false">
      <c r="A20" s="59" t="s">
        <v>157</v>
      </c>
      <c r="B20" s="60" t="n">
        <v>17520</v>
      </c>
      <c r="C20" s="60" t="n">
        <v>18.9</v>
      </c>
      <c r="D20" s="60" t="n">
        <v>18.9</v>
      </c>
      <c r="E20" s="59" t="n">
        <v>2.96</v>
      </c>
      <c r="F20" s="61" t="n">
        <v>0.275</v>
      </c>
      <c r="G20" s="61" t="n">
        <v>0.304</v>
      </c>
      <c r="H20" s="60" t="n">
        <v>23.9</v>
      </c>
    </row>
    <row r="21" customFormat="false" ht="15" hidden="false" customHeight="true" outlineLevel="0" collapsed="false">
      <c r="A21" s="59" t="s">
        <v>126</v>
      </c>
      <c r="B21" s="60" t="n">
        <v>8940</v>
      </c>
      <c r="C21" s="60" t="s">
        <v>508</v>
      </c>
      <c r="D21" s="60" t="s">
        <v>505</v>
      </c>
      <c r="E21" s="59" t="s">
        <v>505</v>
      </c>
      <c r="F21" s="59" t="s">
        <v>505</v>
      </c>
      <c r="G21" s="59" t="s">
        <v>505</v>
      </c>
      <c r="H21" s="60" t="s">
        <v>509</v>
      </c>
    </row>
    <row r="22" customFormat="false" ht="15" hidden="false" customHeight="true" outlineLevel="0" collapsed="false">
      <c r="A22" s="59" t="s">
        <v>173</v>
      </c>
      <c r="B22" s="60" t="n">
        <v>6324</v>
      </c>
      <c r="C22" s="60" t="n">
        <v>15.3</v>
      </c>
      <c r="D22" s="60" t="n">
        <v>13.7</v>
      </c>
      <c r="E22" s="59" t="n">
        <v>5.95</v>
      </c>
      <c r="F22" s="61" t="n">
        <v>0.12</v>
      </c>
      <c r="G22" s="61" t="n">
        <v>0.21</v>
      </c>
      <c r="H22" s="60" t="n">
        <v>10.4</v>
      </c>
    </row>
    <row r="23" customFormat="false" ht="15" hidden="false" customHeight="true" outlineLevel="0" collapsed="false">
      <c r="A23" s="59" t="s">
        <v>133</v>
      </c>
      <c r="B23" s="60" t="n">
        <v>5398</v>
      </c>
      <c r="C23" s="60" t="n">
        <v>8.8</v>
      </c>
      <c r="D23" s="60" t="n">
        <v>8.8</v>
      </c>
      <c r="E23" s="59" t="n">
        <v>4.47</v>
      </c>
      <c r="F23" s="61" t="n">
        <v>0.077</v>
      </c>
      <c r="G23" s="61" t="n">
        <v>0.137</v>
      </c>
      <c r="H23" s="60" t="n">
        <v>8.7</v>
      </c>
    </row>
    <row r="24" customFormat="false" ht="15" hidden="false" customHeight="true" outlineLevel="0" collapsed="false">
      <c r="A24" s="59" t="s">
        <v>182</v>
      </c>
      <c r="B24" s="60" t="n">
        <v>4686</v>
      </c>
      <c r="C24" s="60" t="n">
        <v>9.8</v>
      </c>
      <c r="D24" s="60" t="n">
        <v>10</v>
      </c>
      <c r="E24" s="59" t="n">
        <v>5.86</v>
      </c>
      <c r="F24" s="61" t="n">
        <v>0.292</v>
      </c>
      <c r="G24" s="59" t="s">
        <v>506</v>
      </c>
      <c r="H24" s="60" t="n">
        <v>11.7</v>
      </c>
    </row>
    <row r="25" customFormat="false" ht="15" hidden="false" customHeight="true" outlineLevel="0" collapsed="false">
      <c r="A25" s="59" t="s">
        <v>199</v>
      </c>
      <c r="B25" s="60" t="n">
        <v>4012</v>
      </c>
      <c r="C25" s="60" t="n">
        <v>11.9</v>
      </c>
      <c r="D25" s="60" t="n">
        <v>12.1</v>
      </c>
      <c r="E25" s="59" t="n">
        <v>8.26</v>
      </c>
      <c r="F25" s="61" t="n">
        <v>0.172</v>
      </c>
      <c r="G25" s="61" t="n">
        <v>0.257</v>
      </c>
      <c r="H25" s="60" t="n">
        <v>14.4</v>
      </c>
    </row>
    <row r="26" customFormat="false" ht="15" hidden="false" customHeight="true" outlineLevel="0" collapsed="false">
      <c r="A26" s="59" t="s">
        <v>206</v>
      </c>
      <c r="B26" s="60" t="n">
        <v>1886</v>
      </c>
      <c r="C26" s="60" t="n">
        <v>6.5</v>
      </c>
      <c r="D26" s="60" t="n">
        <v>6.2</v>
      </c>
      <c r="E26" s="59" t="n">
        <v>9.04</v>
      </c>
      <c r="F26" s="61" t="n">
        <v>0.136</v>
      </c>
      <c r="G26" s="61" t="n">
        <v>0.379</v>
      </c>
      <c r="H26" s="60" t="n">
        <v>8.9</v>
      </c>
    </row>
    <row r="27" customFormat="false" ht="15" hidden="false" customHeight="true" outlineLevel="0" collapsed="false">
      <c r="A27" s="59" t="s">
        <v>217</v>
      </c>
      <c r="B27" s="60" t="n">
        <v>864</v>
      </c>
      <c r="C27" s="60" t="n">
        <v>5.8</v>
      </c>
      <c r="D27" s="60" t="n">
        <v>6.1</v>
      </c>
      <c r="E27" s="59" t="n">
        <v>19.28</v>
      </c>
      <c r="F27" s="61" t="n">
        <v>0.437</v>
      </c>
      <c r="G27" s="61" t="n">
        <v>0.78</v>
      </c>
      <c r="H27" s="60" t="n">
        <v>9.1</v>
      </c>
    </row>
    <row r="29" customFormat="false" ht="15" hidden="false" customHeight="true" outlineLevel="0" collapsed="false">
      <c r="A29" s="62" t="s">
        <v>50</v>
      </c>
    </row>
    <row r="30" customFormat="false" ht="15" hidden="false" customHeight="true" outlineLevel="0" collapsed="false">
      <c r="A30" s="3" t="s">
        <v>510</v>
      </c>
    </row>
    <row r="31" customFormat="false" ht="15" hidden="false" customHeight="true" outlineLevel="0" collapsed="false">
      <c r="A31" s="3" t="s">
        <v>511</v>
      </c>
    </row>
    <row r="32" customFormat="false" ht="15" hidden="false" customHeight="true" outlineLevel="0" collapsed="false">
      <c r="A32" s="3" t="s">
        <v>512</v>
      </c>
    </row>
    <row r="33" customFormat="false" ht="15" hidden="false" customHeight="true" outlineLevel="0" collapsed="false">
      <c r="A33" s="3" t="s">
        <v>513</v>
      </c>
    </row>
    <row r="34" customFormat="false" ht="15" hidden="false" customHeight="true" outlineLevel="0" collapsed="false">
      <c r="A34" s="3" t="s">
        <v>514</v>
      </c>
      <c r="E34" s="45" t="n">
        <f aca="false">MEDIAN(E5,E6,E7,E8,E9,E10,E11,E13,E15,E16,E17,E19,E20,E22,E23,E24,E25,E26,E27)</f>
        <v>3.13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38"/>
    <col collapsed="false" customWidth="true" hidden="false" outlineLevel="0" max="6" min="3" style="1" width="14"/>
    <col collapsed="false" customWidth="true" hidden="false" outlineLevel="0" max="8" min="7" style="1" width="12"/>
    <col collapsed="false" customWidth="true" hidden="false" outlineLevel="0" max="10" min="9" style="1" width="14"/>
  </cols>
  <sheetData>
    <row r="1" customFormat="false" ht="15.75" hidden="false" customHeight="true" outlineLevel="0" collapsed="false">
      <c r="A1" s="57" t="s">
        <v>515</v>
      </c>
    </row>
    <row r="2" customFormat="false" ht="15" hidden="false" customHeight="true" outlineLevel="0" collapsed="false">
      <c r="A2" s="3" t="s">
        <v>516</v>
      </c>
    </row>
    <row r="4" customFormat="false" ht="31.5" hidden="false" customHeight="true" outlineLevel="0" collapsed="false">
      <c r="A4" s="58" t="s">
        <v>31</v>
      </c>
      <c r="B4" s="58" t="s">
        <v>517</v>
      </c>
      <c r="C4" s="58" t="s">
        <v>518</v>
      </c>
      <c r="D4" s="58" t="s">
        <v>519</v>
      </c>
      <c r="E4" s="58" t="s">
        <v>520</v>
      </c>
      <c r="F4" s="58" t="s">
        <v>521</v>
      </c>
      <c r="G4" s="58" t="s">
        <v>522</v>
      </c>
      <c r="H4" s="58" t="s">
        <v>523</v>
      </c>
      <c r="I4" s="58" t="s">
        <v>524</v>
      </c>
      <c r="J4" s="58" t="s">
        <v>525</v>
      </c>
    </row>
    <row r="5" customFormat="false" ht="15" hidden="false" customHeight="true" outlineLevel="0" collapsed="false">
      <c r="A5" s="63" t="s">
        <v>526</v>
      </c>
      <c r="B5" s="63" t="s">
        <v>527</v>
      </c>
      <c r="C5" s="64" t="n">
        <v>80000</v>
      </c>
      <c r="D5" s="64" t="n">
        <v>119000</v>
      </c>
      <c r="E5" s="7" t="n">
        <v>41</v>
      </c>
      <c r="F5" s="7" t="n">
        <v>43.5</v>
      </c>
      <c r="G5" s="65" t="n">
        <f aca="false">IF(C5="","",D5/C5-1)</f>
        <v>0.4875</v>
      </c>
      <c r="H5" s="65" t="n">
        <f aca="false">F5/E5-1</f>
        <v>0.0609756097560976</v>
      </c>
      <c r="I5" s="45" t="n">
        <f aca="false">(F5-E5)/((D5-C5)*365/1000000)</f>
        <v>0.175623463294696</v>
      </c>
      <c r="J5" s="45" t="n">
        <f aca="false">F5/(D5*365/1000000)</f>
        <v>1.00149648900656</v>
      </c>
    </row>
    <row r="6" customFormat="false" ht="15" hidden="false" customHeight="true" outlineLevel="0" collapsed="false">
      <c r="A6" s="63" t="s">
        <v>528</v>
      </c>
      <c r="B6" s="63" t="s">
        <v>529</v>
      </c>
      <c r="C6" s="64" t="n">
        <v>131833</v>
      </c>
      <c r="D6" s="64" t="n">
        <v>181000</v>
      </c>
      <c r="E6" s="7" t="n">
        <v>95.1</v>
      </c>
      <c r="F6" s="7" t="n">
        <v>106.9</v>
      </c>
      <c r="G6" s="65" t="n">
        <f aca="false">IF(C6="","",D6/C6-1)</f>
        <v>0.372949109858685</v>
      </c>
      <c r="H6" s="65" t="n">
        <f aca="false">F6/E6-1</f>
        <v>0.124079915878023</v>
      </c>
      <c r="I6" s="45" t="n">
        <f aca="false">(F6-E6)/((D6-C6)*365/1000000)</f>
        <v>0.657529788746267</v>
      </c>
      <c r="J6" s="45" t="n">
        <f aca="false">F6/(D6*365/1000000)</f>
        <v>1.61810338303186</v>
      </c>
    </row>
    <row r="7" customFormat="false" ht="15" hidden="false" customHeight="true" outlineLevel="0" collapsed="false">
      <c r="A7" s="63" t="s">
        <v>530</v>
      </c>
      <c r="B7" s="63" t="s">
        <v>531</v>
      </c>
      <c r="C7" s="64" t="n">
        <v>34710</v>
      </c>
      <c r="D7" s="64" t="n">
        <v>45709</v>
      </c>
      <c r="E7" s="7" t="n">
        <v>51.138</v>
      </c>
      <c r="F7" s="7" t="n">
        <v>60.087</v>
      </c>
      <c r="G7" s="65" t="n">
        <f aca="false">IF(C7="","",D7/C7-1)</f>
        <v>0.316882742725439</v>
      </c>
      <c r="H7" s="65" t="n">
        <f aca="false">F7/E7-1</f>
        <v>0.174997066760531</v>
      </c>
      <c r="I7" s="45" t="n">
        <f aca="false">(F7-E7)/((D7-C7)*365/1000000)</f>
        <v>2.22909430122539</v>
      </c>
      <c r="J7" s="45" t="n">
        <f aca="false">F7/(D7*365/1000000)</f>
        <v>3.6015208779063</v>
      </c>
    </row>
    <row r="8" customFormat="false" ht="15" hidden="false" customHeight="true" outlineLevel="0" collapsed="false">
      <c r="A8" s="63" t="s">
        <v>532</v>
      </c>
      <c r="B8" s="63" t="s">
        <v>533</v>
      </c>
      <c r="C8" s="64" t="n">
        <v>258000</v>
      </c>
      <c r="D8" s="64" t="n">
        <v>474000</v>
      </c>
      <c r="E8" s="7" t="n">
        <v>233</v>
      </c>
      <c r="F8" s="7" t="n">
        <v>458</v>
      </c>
      <c r="G8" s="65" t="n">
        <f aca="false">IF(C8="","",D8/C8-1)</f>
        <v>0.837209302325581</v>
      </c>
      <c r="H8" s="65" t="n">
        <f aca="false">F8/E8-1</f>
        <v>0.965665236051502</v>
      </c>
      <c r="I8" s="45" t="n">
        <f aca="false">(F8-E8)/((D8-C8)*365/1000000)</f>
        <v>2.85388127853881</v>
      </c>
      <c r="J8" s="45" t="n">
        <f aca="false">F8/(D8*365/1000000)</f>
        <v>2.64724582394081</v>
      </c>
    </row>
    <row r="9" customFormat="false" ht="15" hidden="false" customHeight="true" outlineLevel="0" collapsed="false">
      <c r="A9" s="63" t="s">
        <v>534</v>
      </c>
      <c r="B9" s="63" t="s">
        <v>535</v>
      </c>
      <c r="C9" s="64" t="n">
        <v>52947</v>
      </c>
      <c r="D9" s="64" t="n">
        <v>131506</v>
      </c>
      <c r="E9" s="7" t="n">
        <v>145.7</v>
      </c>
      <c r="F9" s="7" t="n">
        <v>249.5</v>
      </c>
      <c r="G9" s="65" t="n">
        <f aca="false">IF(C9="","",D9/C9-1)</f>
        <v>1.4837290120309</v>
      </c>
      <c r="H9" s="65" t="n">
        <f aca="false">F9/E9-1</f>
        <v>0.712422786547701</v>
      </c>
      <c r="I9" s="45" t="n">
        <f aca="false">(F9-E9)/((D9-C9)*365/1000000)</f>
        <v>3.61999976633913</v>
      </c>
      <c r="J9" s="45" t="n">
        <f aca="false">F9/(D9*365/1000000)</f>
        <v>5.19795023676195</v>
      </c>
    </row>
    <row r="10" customFormat="false" ht="15" hidden="false" customHeight="true" outlineLevel="0" collapsed="false">
      <c r="A10" s="63" t="s">
        <v>536</v>
      </c>
      <c r="B10" s="63" t="s">
        <v>537</v>
      </c>
      <c r="C10" s="64" t="n">
        <v>51500</v>
      </c>
      <c r="D10" s="64" t="n">
        <v>40400</v>
      </c>
      <c r="E10" s="7" t="n">
        <v>52.2</v>
      </c>
      <c r="F10" s="7" t="n">
        <v>45</v>
      </c>
      <c r="G10" s="65" t="n">
        <f aca="false">IF(C10="","",D10/C10-1)</f>
        <v>-0.215533980582524</v>
      </c>
      <c r="H10" s="65" t="n">
        <f aca="false">F10/E10-1</f>
        <v>-0.137931034482759</v>
      </c>
    </row>
    <row r="11" customFormat="false" ht="15" hidden="false" customHeight="true" outlineLevel="0" collapsed="false">
      <c r="A11" s="63" t="s">
        <v>538</v>
      </c>
      <c r="B11" s="63" t="s">
        <v>539</v>
      </c>
      <c r="C11" s="64" t="n">
        <v>19650</v>
      </c>
      <c r="D11" s="64" t="n">
        <v>17520</v>
      </c>
      <c r="E11" s="7" t="n">
        <v>23.9</v>
      </c>
      <c r="F11" s="7" t="n">
        <v>18.9</v>
      </c>
      <c r="G11" s="65" t="n">
        <f aca="false">IF(C11="","",D11/C11-1)</f>
        <v>-0.108396946564886</v>
      </c>
      <c r="H11" s="65" t="n">
        <f aca="false">F11/E11-1</f>
        <v>-0.209205020920502</v>
      </c>
    </row>
    <row r="13" customFormat="false" ht="15" hidden="false" customHeight="true" outlineLevel="0" collapsed="false">
      <c r="A13" s="3" t="s">
        <v>540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70"/>
  </cols>
  <sheetData>
    <row r="1" customFormat="false" ht="15.75" hidden="false" customHeight="true" outlineLevel="0" collapsed="false">
      <c r="A1" s="57" t="s">
        <v>541</v>
      </c>
    </row>
    <row r="2" customFormat="false" ht="15" hidden="false" customHeight="true" outlineLevel="0" collapsed="false">
      <c r="A2" s="3" t="s">
        <v>542</v>
      </c>
    </row>
    <row r="4" customFormat="false" ht="31.5" hidden="false" customHeight="true" outlineLevel="0" collapsed="false">
      <c r="A4" s="58" t="s">
        <v>543</v>
      </c>
      <c r="B4" s="58" t="s">
        <v>544</v>
      </c>
      <c r="C4" s="58" t="s">
        <v>545</v>
      </c>
      <c r="D4" s="58" t="s">
        <v>546</v>
      </c>
    </row>
    <row r="5" customFormat="false" ht="15" hidden="false" customHeight="true" outlineLevel="0" collapsed="false">
      <c r="A5" s="63" t="s">
        <v>547</v>
      </c>
      <c r="B5" s="64" t="n">
        <v>58789</v>
      </c>
      <c r="C5" s="66" t="n">
        <f aca="false">B5/1000</f>
        <v>58.789</v>
      </c>
      <c r="D5" s="3" t="s">
        <v>548</v>
      </c>
    </row>
    <row r="6" customFormat="false" ht="15" hidden="false" customHeight="true" outlineLevel="0" collapsed="false">
      <c r="A6" s="63" t="s">
        <v>549</v>
      </c>
      <c r="B6" s="64" t="n">
        <v>-40153</v>
      </c>
      <c r="C6" s="66" t="n">
        <f aca="false">B6/1000</f>
        <v>-40.153</v>
      </c>
      <c r="D6" s="3" t="s">
        <v>550</v>
      </c>
    </row>
    <row r="7" customFormat="false" ht="15" hidden="false" customHeight="true" outlineLevel="0" collapsed="false">
      <c r="A7" s="63" t="s">
        <v>551</v>
      </c>
      <c r="B7" s="67" t="n">
        <f aca="false">B5+B6</f>
        <v>18636</v>
      </c>
      <c r="C7" s="66" t="n">
        <f aca="false">B7/1000</f>
        <v>18.636</v>
      </c>
      <c r="D7" s="3" t="s">
        <v>552</v>
      </c>
    </row>
    <row r="8" customFormat="false" ht="15" hidden="false" customHeight="true" outlineLevel="0" collapsed="false">
      <c r="A8" s="63" t="s">
        <v>553</v>
      </c>
      <c r="B8" s="68" t="n">
        <f aca="false">-B6/B5</f>
        <v>0.683001922128289</v>
      </c>
      <c r="D8" s="3"/>
    </row>
    <row r="9" customFormat="false" ht="15" hidden="false" customHeight="true" outlineLevel="0" collapsed="false">
      <c r="A9" s="63" t="s">
        <v>554</v>
      </c>
      <c r="B9" s="64" t="n">
        <v>115700</v>
      </c>
      <c r="C9" s="66" t="n">
        <f aca="false">B9/1000</f>
        <v>115.7</v>
      </c>
      <c r="D9" s="3" t="s">
        <v>555</v>
      </c>
    </row>
    <row r="10" customFormat="false" ht="15" hidden="false" customHeight="true" outlineLevel="0" collapsed="false">
      <c r="A10" s="63" t="s">
        <v>556</v>
      </c>
      <c r="B10" s="68" t="n">
        <f aca="false">B7/B9</f>
        <v>0.161071737251513</v>
      </c>
      <c r="D10" s="3"/>
    </row>
    <row r="11" customFormat="false" ht="15" hidden="false" customHeight="true" outlineLevel="0" collapsed="false">
      <c r="A11" s="63" t="s">
        <v>557</v>
      </c>
      <c r="B11" s="7" t="n">
        <v>15.9</v>
      </c>
      <c r="D11" s="3" t="s">
        <v>558</v>
      </c>
    </row>
    <row r="12" customFormat="false" ht="15" hidden="false" customHeight="true" outlineLevel="0" collapsed="false">
      <c r="A12" s="63" t="s">
        <v>559</v>
      </c>
      <c r="B12" s="7" t="s">
        <v>560</v>
      </c>
      <c r="D12" s="3" t="s">
        <v>561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26"/>
    <col collapsed="false" customWidth="true" hidden="false" outlineLevel="0" max="3" min="3" style="1" width="34"/>
    <col collapsed="false" customWidth="true" hidden="false" outlineLevel="0" max="4" min="4" style="1" width="44"/>
  </cols>
  <sheetData>
    <row r="1" customFormat="false" ht="15.75" hidden="false" customHeight="true" outlineLevel="0" collapsed="false">
      <c r="A1" s="57" t="s">
        <v>562</v>
      </c>
    </row>
    <row r="2" customFormat="false" ht="15" hidden="false" customHeight="true" outlineLevel="0" collapsed="false">
      <c r="A2" s="3" t="s">
        <v>563</v>
      </c>
    </row>
    <row r="4" customFormat="false" ht="31.5" hidden="false" customHeight="true" outlineLevel="0" collapsed="false">
      <c r="A4" s="58" t="s">
        <v>31</v>
      </c>
      <c r="B4" s="58" t="s">
        <v>564</v>
      </c>
      <c r="C4" s="58" t="s">
        <v>565</v>
      </c>
      <c r="D4" s="58" t="s">
        <v>566</v>
      </c>
    </row>
    <row r="5" customFormat="false" ht="15" hidden="false" customHeight="true" outlineLevel="0" collapsed="false">
      <c r="A5" s="59" t="s">
        <v>71</v>
      </c>
      <c r="B5" s="59" t="n">
        <v>694</v>
      </c>
      <c r="C5" s="59" t="s">
        <v>567</v>
      </c>
      <c r="D5" s="59" t="s">
        <v>568</v>
      </c>
    </row>
    <row r="6" customFormat="false" ht="15" hidden="false" customHeight="true" outlineLevel="0" collapsed="false">
      <c r="A6" s="59" t="s">
        <v>106</v>
      </c>
      <c r="B6" s="59" t="s">
        <v>569</v>
      </c>
      <c r="C6" s="59" t="s">
        <v>570</v>
      </c>
      <c r="D6" s="59" t="s">
        <v>571</v>
      </c>
    </row>
    <row r="7" customFormat="false" ht="23.25" hidden="false" customHeight="true" outlineLevel="0" collapsed="false">
      <c r="A7" s="59" t="s">
        <v>157</v>
      </c>
      <c r="B7" s="59" t="n">
        <v>75</v>
      </c>
      <c r="C7" s="59" t="s">
        <v>570</v>
      </c>
      <c r="D7" s="59" t="s">
        <v>572</v>
      </c>
    </row>
    <row r="8" customFormat="false" ht="15" hidden="false" customHeight="true" outlineLevel="0" collapsed="false">
      <c r="A8" s="59" t="s">
        <v>165</v>
      </c>
      <c r="B8" s="59" t="s">
        <v>573</v>
      </c>
      <c r="C8" s="59" t="s">
        <v>570</v>
      </c>
      <c r="D8" s="59" t="s">
        <v>574</v>
      </c>
    </row>
    <row r="9" customFormat="false" ht="23.25" hidden="false" customHeight="true" outlineLevel="0" collapsed="false">
      <c r="A9" s="59" t="s">
        <v>173</v>
      </c>
      <c r="B9" s="59" t="n">
        <v>22</v>
      </c>
      <c r="C9" s="59" t="s">
        <v>575</v>
      </c>
      <c r="D9" s="59" t="s">
        <v>576</v>
      </c>
    </row>
    <row r="10" customFormat="false" ht="15" hidden="false" customHeight="true" outlineLevel="0" collapsed="false">
      <c r="A10" s="59" t="s">
        <v>530</v>
      </c>
      <c r="B10" s="59" t="n">
        <v>406</v>
      </c>
      <c r="C10" s="59" t="s">
        <v>577</v>
      </c>
      <c r="D10" s="59" t="s">
        <v>578</v>
      </c>
    </row>
    <row r="11" customFormat="false" ht="15" hidden="false" customHeight="true" outlineLevel="0" collapsed="false">
      <c r="A11" s="59" t="s">
        <v>117</v>
      </c>
      <c r="B11" s="59" t="n">
        <v>265</v>
      </c>
      <c r="C11" s="59" t="s">
        <v>579</v>
      </c>
      <c r="D11" s="59" t="s">
        <v>580</v>
      </c>
    </row>
    <row r="12" customFormat="false" ht="15" hidden="false" customHeight="true" outlineLevel="0" collapsed="false">
      <c r="A12" s="59" t="s">
        <v>99</v>
      </c>
      <c r="B12" s="59" t="n">
        <v>285</v>
      </c>
      <c r="C12" s="59" t="s">
        <v>581</v>
      </c>
      <c r="D12" s="59" t="s">
        <v>578</v>
      </c>
    </row>
    <row r="13" customFormat="false" ht="15" hidden="false" customHeight="true" outlineLevel="0" collapsed="false">
      <c r="A13" s="59" t="s">
        <v>81</v>
      </c>
      <c r="B13" s="59" t="n">
        <v>242</v>
      </c>
      <c r="C13" s="59" t="s">
        <v>581</v>
      </c>
      <c r="D13" s="59" t="s">
        <v>578</v>
      </c>
    </row>
    <row r="14" customFormat="false" ht="15" hidden="false" customHeight="true" outlineLevel="0" collapsed="false">
      <c r="A14" s="59" t="s">
        <v>133</v>
      </c>
      <c r="B14" s="59" t="n">
        <v>32</v>
      </c>
      <c r="C14" s="59" t="n">
        <v>2025</v>
      </c>
      <c r="D14" s="59" t="s">
        <v>578</v>
      </c>
    </row>
    <row r="15" customFormat="false" ht="15" hidden="false" customHeight="true" outlineLevel="0" collapsed="false">
      <c r="A15" s="59" t="s">
        <v>139</v>
      </c>
      <c r="B15" s="59" t="n">
        <v>1987</v>
      </c>
      <c r="C15" s="59" t="s">
        <v>581</v>
      </c>
      <c r="D15" s="59" t="s">
        <v>578</v>
      </c>
    </row>
    <row r="16" customFormat="false" ht="15" hidden="false" customHeight="true" outlineLevel="0" collapsed="false">
      <c r="A16" s="59" t="s">
        <v>51</v>
      </c>
      <c r="B16" s="59" t="s">
        <v>582</v>
      </c>
      <c r="C16" s="59" t="s">
        <v>583</v>
      </c>
      <c r="D16" s="59" t="s">
        <v>578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34"/>
    <col collapsed="false" customWidth="true" hidden="false" outlineLevel="0" max="3" min="3" style="1" width="28"/>
    <col collapsed="false" customWidth="true" hidden="false" outlineLevel="0" max="5" min="4" style="1" width="30"/>
  </cols>
  <sheetData>
    <row r="1" customFormat="false" ht="15.75" hidden="false" customHeight="true" outlineLevel="0" collapsed="false">
      <c r="A1" s="57" t="s">
        <v>584</v>
      </c>
    </row>
    <row r="2" customFormat="false" ht="15" hidden="false" customHeight="true" outlineLevel="0" collapsed="false">
      <c r="A2" s="3" t="s">
        <v>585</v>
      </c>
    </row>
    <row r="4" customFormat="false" ht="31.5" hidden="false" customHeight="true" outlineLevel="0" collapsed="false">
      <c r="A4" s="58" t="s">
        <v>31</v>
      </c>
      <c r="B4" s="58" t="s">
        <v>586</v>
      </c>
      <c r="C4" s="58" t="s">
        <v>587</v>
      </c>
      <c r="D4" s="58" t="s">
        <v>588</v>
      </c>
      <c r="E4" s="58" t="s">
        <v>589</v>
      </c>
    </row>
    <row r="5" customFormat="false" ht="23.25" hidden="false" customHeight="true" outlineLevel="0" collapsed="false">
      <c r="A5" s="59" t="s">
        <v>51</v>
      </c>
      <c r="B5" s="59" t="s">
        <v>590</v>
      </c>
      <c r="C5" s="59" t="s">
        <v>591</v>
      </c>
      <c r="D5" s="59" t="s">
        <v>592</v>
      </c>
      <c r="E5" s="59" t="s">
        <v>254</v>
      </c>
    </row>
    <row r="6" customFormat="false" ht="15" hidden="false" customHeight="true" outlineLevel="0" collapsed="false">
      <c r="A6" s="59" t="s">
        <v>147</v>
      </c>
      <c r="B6" s="59" t="s">
        <v>593</v>
      </c>
      <c r="C6" s="59" t="s">
        <v>594</v>
      </c>
      <c r="D6" s="59" t="s">
        <v>595</v>
      </c>
      <c r="E6" s="59" t="s">
        <v>254</v>
      </c>
    </row>
    <row r="7" customFormat="false" ht="23.25" hidden="false" customHeight="true" outlineLevel="0" collapsed="false">
      <c r="A7" s="59" t="s">
        <v>139</v>
      </c>
      <c r="B7" s="59" t="s">
        <v>596</v>
      </c>
      <c r="C7" s="59" t="s">
        <v>597</v>
      </c>
      <c r="D7" s="59" t="s">
        <v>598</v>
      </c>
      <c r="E7" s="59" t="s">
        <v>254</v>
      </c>
    </row>
    <row r="8" customFormat="false" ht="23.25" hidden="false" customHeight="true" outlineLevel="0" collapsed="false">
      <c r="A8" s="59" t="s">
        <v>63</v>
      </c>
      <c r="B8" s="59" t="s">
        <v>599</v>
      </c>
      <c r="C8" s="59" t="s">
        <v>600</v>
      </c>
      <c r="D8" s="59" t="s">
        <v>601</v>
      </c>
      <c r="E8" s="59" t="s">
        <v>254</v>
      </c>
    </row>
    <row r="9" customFormat="false" ht="23.25" hidden="false" customHeight="true" outlineLevel="0" collapsed="false">
      <c r="A9" s="59" t="s">
        <v>93</v>
      </c>
      <c r="B9" s="59" t="s">
        <v>602</v>
      </c>
      <c r="C9" s="59" t="s">
        <v>603</v>
      </c>
      <c r="D9" s="59" t="s">
        <v>578</v>
      </c>
      <c r="E9" s="59" t="s">
        <v>254</v>
      </c>
    </row>
    <row r="10" customFormat="false" ht="23.25" hidden="false" customHeight="true" outlineLevel="0" collapsed="false">
      <c r="A10" s="59" t="s">
        <v>86</v>
      </c>
      <c r="B10" s="59" t="s">
        <v>604</v>
      </c>
      <c r="C10" s="59" t="s">
        <v>605</v>
      </c>
      <c r="D10" s="59" t="s">
        <v>606</v>
      </c>
      <c r="E10" s="59" t="s">
        <v>254</v>
      </c>
    </row>
    <row r="11" customFormat="false" ht="23.25" hidden="false" customHeight="true" outlineLevel="0" collapsed="false">
      <c r="A11" s="59" t="s">
        <v>99</v>
      </c>
      <c r="B11" s="59" t="s">
        <v>607</v>
      </c>
      <c r="C11" s="59" t="s">
        <v>608</v>
      </c>
      <c r="D11" s="59" t="s">
        <v>609</v>
      </c>
      <c r="E11" s="59" t="s">
        <v>610</v>
      </c>
    </row>
    <row r="12" customFormat="false" ht="15" hidden="false" customHeight="true" outlineLevel="0" collapsed="false">
      <c r="A12" s="59" t="s">
        <v>191</v>
      </c>
      <c r="B12" s="59" t="s">
        <v>593</v>
      </c>
      <c r="C12" s="59" t="s">
        <v>611</v>
      </c>
      <c r="D12" s="59" t="s">
        <v>578</v>
      </c>
      <c r="E12" s="59" t="s">
        <v>254</v>
      </c>
    </row>
    <row r="13" customFormat="false" ht="15" hidden="false" customHeight="true" outlineLevel="0" collapsed="false">
      <c r="A13" s="59" t="s">
        <v>165</v>
      </c>
      <c r="B13" s="59" t="s">
        <v>604</v>
      </c>
      <c r="C13" s="59" t="s">
        <v>612</v>
      </c>
      <c r="D13" s="59" t="s">
        <v>613</v>
      </c>
      <c r="E13" s="59" t="s">
        <v>614</v>
      </c>
    </row>
    <row r="14" customFormat="false" ht="15" hidden="false" customHeight="true" outlineLevel="0" collapsed="false">
      <c r="A14" s="59" t="s">
        <v>81</v>
      </c>
      <c r="B14" s="59" t="s">
        <v>590</v>
      </c>
      <c r="C14" s="59" t="s">
        <v>615</v>
      </c>
      <c r="D14" s="59" t="s">
        <v>616</v>
      </c>
      <c r="E14" s="59" t="s">
        <v>254</v>
      </c>
    </row>
    <row r="15" customFormat="false" ht="15" hidden="false" customHeight="true" outlineLevel="0" collapsed="false">
      <c r="A15" s="59" t="s">
        <v>157</v>
      </c>
      <c r="B15" s="59" t="s">
        <v>617</v>
      </c>
      <c r="C15" s="59" t="s">
        <v>618</v>
      </c>
      <c r="D15" s="59" t="s">
        <v>578</v>
      </c>
      <c r="E15" s="59" t="s">
        <v>619</v>
      </c>
    </row>
    <row r="16" customFormat="false" ht="15" hidden="false" customHeight="true" outlineLevel="0" collapsed="false">
      <c r="A16" s="59" t="s">
        <v>106</v>
      </c>
      <c r="B16" s="59" t="s">
        <v>620</v>
      </c>
      <c r="C16" s="59" t="s">
        <v>621</v>
      </c>
      <c r="D16" s="59" t="s">
        <v>578</v>
      </c>
      <c r="E16" s="59" t="s">
        <v>254</v>
      </c>
    </row>
    <row r="17" customFormat="false" ht="23.25" hidden="false" customHeight="true" outlineLevel="0" collapsed="false">
      <c r="A17" s="59" t="s">
        <v>173</v>
      </c>
      <c r="B17" s="59" t="s">
        <v>622</v>
      </c>
      <c r="C17" s="59" t="s">
        <v>623</v>
      </c>
      <c r="D17" s="59" t="s">
        <v>624</v>
      </c>
      <c r="E17" s="59" t="s">
        <v>254</v>
      </c>
    </row>
    <row r="18" customFormat="false" ht="15" hidden="false" customHeight="true" outlineLevel="0" collapsed="false">
      <c r="A18" s="59" t="s">
        <v>199</v>
      </c>
      <c r="B18" s="59" t="s">
        <v>625</v>
      </c>
      <c r="C18" s="59" t="s">
        <v>626</v>
      </c>
      <c r="D18" s="59" t="s">
        <v>578</v>
      </c>
      <c r="E18" s="59" t="s">
        <v>254</v>
      </c>
    </row>
    <row r="19" customFormat="false" ht="23.25" hidden="false" customHeight="true" outlineLevel="0" collapsed="false">
      <c r="A19" s="59" t="s">
        <v>182</v>
      </c>
      <c r="B19" s="59" t="s">
        <v>627</v>
      </c>
      <c r="C19" s="59" t="s">
        <v>626</v>
      </c>
      <c r="D19" s="59" t="s">
        <v>628</v>
      </c>
      <c r="E19" s="59" t="s">
        <v>629</v>
      </c>
    </row>
    <row r="20" customFormat="false" ht="15" hidden="false" customHeight="true" outlineLevel="0" collapsed="false">
      <c r="A20" s="59" t="s">
        <v>133</v>
      </c>
      <c r="B20" s="59" t="s">
        <v>604</v>
      </c>
      <c r="C20" s="59" t="s">
        <v>630</v>
      </c>
      <c r="D20" s="59" t="s">
        <v>631</v>
      </c>
      <c r="E20" s="59" t="s">
        <v>254</v>
      </c>
    </row>
    <row r="21" customFormat="false" ht="23.25" hidden="false" customHeight="true" outlineLevel="0" collapsed="false">
      <c r="A21" s="59" t="s">
        <v>71</v>
      </c>
      <c r="B21" s="59" t="s">
        <v>632</v>
      </c>
      <c r="C21" s="59" t="s">
        <v>633</v>
      </c>
      <c r="D21" s="59" t="s">
        <v>578</v>
      </c>
      <c r="E21" s="59" t="s">
        <v>634</v>
      </c>
    </row>
    <row r="22" customFormat="false" ht="15" hidden="false" customHeight="true" outlineLevel="0" collapsed="false">
      <c r="A22" s="59" t="s">
        <v>206</v>
      </c>
      <c r="B22" s="59" t="s">
        <v>635</v>
      </c>
      <c r="C22" s="59" t="s">
        <v>636</v>
      </c>
      <c r="D22" s="59" t="s">
        <v>637</v>
      </c>
      <c r="E22" s="59" t="s">
        <v>254</v>
      </c>
    </row>
    <row r="23" customFormat="false" ht="15" hidden="false" customHeight="true" outlineLevel="0" collapsed="false">
      <c r="A23" s="59" t="s">
        <v>217</v>
      </c>
      <c r="B23" s="59" t="s">
        <v>604</v>
      </c>
      <c r="C23" s="59" t="s">
        <v>626</v>
      </c>
      <c r="D23" s="59" t="s">
        <v>638</v>
      </c>
      <c r="E23" s="59" t="s">
        <v>254</v>
      </c>
    </row>
    <row r="24" customFormat="false" ht="23.25" hidden="false" customHeight="true" outlineLevel="0" collapsed="false">
      <c r="A24" s="59" t="s">
        <v>117</v>
      </c>
      <c r="B24" s="59" t="s">
        <v>639</v>
      </c>
      <c r="C24" s="59" t="s">
        <v>640</v>
      </c>
      <c r="D24" s="59" t="s">
        <v>640</v>
      </c>
      <c r="E24" s="59" t="s">
        <v>641</v>
      </c>
    </row>
    <row r="25" customFormat="false" ht="15" hidden="false" customHeight="true" outlineLevel="0" collapsed="false">
      <c r="A25" s="59" t="s">
        <v>126</v>
      </c>
      <c r="B25" s="59" t="s">
        <v>590</v>
      </c>
      <c r="C25" s="59" t="s">
        <v>642</v>
      </c>
      <c r="D25" s="59" t="s">
        <v>642</v>
      </c>
      <c r="E25" s="59" t="s">
        <v>254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50"/>
  </cols>
  <sheetData>
    <row r="1" customFormat="false" ht="15.75" hidden="false" customHeight="true" outlineLevel="0" collapsed="false">
      <c r="A1" s="57" t="s">
        <v>643</v>
      </c>
    </row>
    <row r="2" customFormat="false" ht="15" hidden="false" customHeight="true" outlineLevel="0" collapsed="false">
      <c r="A2" s="3" t="s">
        <v>644</v>
      </c>
    </row>
    <row r="4" customFormat="false" ht="31.5" hidden="false" customHeight="true" outlineLevel="0" collapsed="false">
      <c r="A4" s="58" t="s">
        <v>31</v>
      </c>
      <c r="B4" s="58" t="s">
        <v>333</v>
      </c>
      <c r="C4" s="58" t="s">
        <v>645</v>
      </c>
      <c r="D4" s="58" t="s">
        <v>646</v>
      </c>
    </row>
    <row r="5" customFormat="false" ht="23.25" hidden="false" customHeight="true" outlineLevel="0" collapsed="false">
      <c r="A5" s="59" t="s">
        <v>93</v>
      </c>
      <c r="B5" s="59" t="n">
        <v>154000</v>
      </c>
      <c r="C5" s="59" t="s">
        <v>647</v>
      </c>
      <c r="D5" s="59" t="s">
        <v>648</v>
      </c>
    </row>
    <row r="6" customFormat="false" ht="23.25" hidden="false" customHeight="true" outlineLevel="0" collapsed="false">
      <c r="A6" s="59" t="s">
        <v>147</v>
      </c>
      <c r="B6" s="59" t="n">
        <v>131506</v>
      </c>
      <c r="C6" s="59" t="s">
        <v>649</v>
      </c>
      <c r="D6" s="59" t="s">
        <v>650</v>
      </c>
    </row>
    <row r="7" customFormat="false" ht="15" hidden="false" customHeight="true" outlineLevel="0" collapsed="false">
      <c r="A7" s="59" t="s">
        <v>86</v>
      </c>
      <c r="B7" s="59" t="n">
        <v>119000</v>
      </c>
      <c r="C7" s="59" t="s">
        <v>651</v>
      </c>
      <c r="D7" s="59" t="s">
        <v>652</v>
      </c>
    </row>
    <row r="8" customFormat="false" ht="15" hidden="false" customHeight="true" outlineLevel="0" collapsed="false">
      <c r="A8" s="59" t="s">
        <v>530</v>
      </c>
      <c r="B8" s="59" t="n">
        <v>45709</v>
      </c>
      <c r="C8" s="59" t="s">
        <v>653</v>
      </c>
      <c r="D8" s="59" t="s">
        <v>654</v>
      </c>
    </row>
    <row r="9" customFormat="false" ht="23.25" hidden="false" customHeight="true" outlineLevel="0" collapsed="false">
      <c r="A9" s="59" t="s">
        <v>71</v>
      </c>
      <c r="B9" s="59" t="n">
        <v>42945</v>
      </c>
      <c r="C9" s="59" t="s">
        <v>655</v>
      </c>
      <c r="D9" s="59" t="s">
        <v>656</v>
      </c>
    </row>
    <row r="10" customFormat="false" ht="23.25" hidden="false" customHeight="true" outlineLevel="0" collapsed="false">
      <c r="A10" s="59" t="s">
        <v>99</v>
      </c>
      <c r="B10" s="59" t="n">
        <v>40400</v>
      </c>
      <c r="C10" s="59" t="s">
        <v>657</v>
      </c>
      <c r="D10" s="59" t="s">
        <v>658</v>
      </c>
    </row>
    <row r="11" customFormat="false" ht="15" hidden="false" customHeight="true" outlineLevel="0" collapsed="false">
      <c r="A11" s="59" t="s">
        <v>106</v>
      </c>
      <c r="B11" s="59" t="n">
        <v>33248</v>
      </c>
      <c r="C11" s="59" t="s">
        <v>659</v>
      </c>
      <c r="D11" s="59" t="s">
        <v>660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2026-10-28T16:36:22Z</dcterms:created>
  <dc:creator>openpyxl</dc:creator>
  <dc:description/>
  <dc:language>en-US</dc:language>
  <cp:lastModifiedBy/>
  <dcterms:modified xsi:type="dcterms:W3CDTF">2026-10-30T11:12:05Z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