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pinder/Library/Mobile Documents/com~apple~CloudDocs/TUCKEDito/"/>
    </mc:Choice>
  </mc:AlternateContent>
  <xr:revisionPtr revIDLastSave="0" documentId="13_ncr:1_{3C3A22DA-3604-CD4E-9DF4-0AA13A2598D3}" xr6:coauthVersionLast="46" xr6:coauthVersionMax="46" xr10:uidLastSave="{00000000-0000-0000-0000-000000000000}"/>
  <bookViews>
    <workbookView xWindow="400" yWindow="500" windowWidth="28800" windowHeight="16140" activeTab="4" xr2:uid="{909E2C44-7A41-4FDD-B2BE-D2F78783EA91}"/>
  </bookViews>
  <sheets>
    <sheet name="Balance Sheet" sheetId="14" r:id="rId1"/>
    <sheet name="Income Statement" sheetId="12" r:id="rId2"/>
    <sheet name="Cash Flow" sheetId="15" r:id="rId3"/>
    <sheet name="Expenses" sheetId="22" r:id="rId4"/>
    <sheet name="Sales Projections" sheetId="13" r:id="rId5"/>
    <sheet name="Total Ingredients" sheetId="1" r:id="rId6"/>
    <sheet name="Menu Items" sheetId="2" r:id="rId7"/>
    <sheet name="Product Supplier List" sheetId="24" r:id="rId8"/>
    <sheet name="For 20lbs" sheetId="18" r:id="rId9"/>
    <sheet name="To do's" sheetId="8" state="hidden" r:id="rId10"/>
    <sheet name="Spice Conversion" sheetId="6" state="hidden" r:id="rId11"/>
    <sheet name="Timeline" sheetId="19" r:id="rId12"/>
  </sheets>
  <definedNames>
    <definedName name="_xlnm._FilterDatabase" localSheetId="10" hidden="1">'Spice Conversion'!$A$2:$I$14</definedName>
    <definedName name="_xlnm._FilterDatabase" localSheetId="9" hidden="1">'To do''s'!$A$1:$D$1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N11" i="2"/>
  <c r="O11" i="2" s="1"/>
  <c r="B28" i="2"/>
  <c r="D28" i="2"/>
  <c r="B29" i="2"/>
  <c r="D29" i="2"/>
  <c r="E29" i="2"/>
  <c r="L27" i="1"/>
  <c r="H9" i="2"/>
  <c r="L26" i="1"/>
  <c r="O28" i="1"/>
  <c r="L28" i="1"/>
  <c r="N9" i="2"/>
  <c r="O9" i="2" s="1"/>
  <c r="R38" i="2"/>
  <c r="R37" i="2"/>
  <c r="L25" i="1"/>
  <c r="O23" i="1"/>
  <c r="N45" i="2" s="1"/>
  <c r="O45" i="2" s="1"/>
  <c r="O24" i="1"/>
  <c r="O25" i="1"/>
  <c r="N6" i="2" s="1"/>
  <c r="O6" i="2" s="1"/>
  <c r="O26" i="1"/>
  <c r="N52" i="2" s="1"/>
  <c r="O52" i="2" s="1"/>
  <c r="O27" i="1"/>
  <c r="N49" i="2" s="1"/>
  <c r="O49" i="2" s="1"/>
  <c r="L24" i="1"/>
  <c r="L23" i="1"/>
  <c r="D15" i="2"/>
  <c r="L7" i="1"/>
  <c r="H10" i="2"/>
  <c r="H8" i="2"/>
  <c r="H7" i="2"/>
  <c r="H6" i="2"/>
  <c r="N5" i="2"/>
  <c r="O5" i="2" s="1"/>
  <c r="H5" i="2"/>
  <c r="N4" i="2"/>
  <c r="O4" i="2" s="1"/>
  <c r="H4" i="2"/>
  <c r="H12" i="2"/>
  <c r="H52" i="2"/>
  <c r="H51" i="2"/>
  <c r="H50" i="2"/>
  <c r="H49" i="2"/>
  <c r="H48" i="2"/>
  <c r="H47" i="2"/>
  <c r="H46" i="2"/>
  <c r="H45" i="2"/>
  <c r="N46" i="2"/>
  <c r="O46" i="2" s="1"/>
  <c r="C9" i="13"/>
  <c r="D9" i="13"/>
  <c r="C10" i="13"/>
  <c r="D10" i="13"/>
  <c r="C11" i="13"/>
  <c r="D11" i="13"/>
  <c r="C12" i="13"/>
  <c r="D12" i="13"/>
  <c r="C13" i="13"/>
  <c r="D13" i="13"/>
  <c r="D49" i="13"/>
  <c r="C48" i="13"/>
  <c r="D48" i="13"/>
  <c r="C49" i="13"/>
  <c r="C50" i="13"/>
  <c r="D50" i="13"/>
  <c r="C51" i="13"/>
  <c r="D51" i="13"/>
  <c r="C47" i="13"/>
  <c r="D47" i="13"/>
  <c r="C28" i="13"/>
  <c r="D28" i="13"/>
  <c r="C29" i="13"/>
  <c r="D29" i="13"/>
  <c r="C30" i="13"/>
  <c r="D30" i="13"/>
  <c r="C31" i="13"/>
  <c r="D31" i="13"/>
  <c r="C32" i="13"/>
  <c r="D32" i="13"/>
  <c r="J67" i="13"/>
  <c r="F68" i="13"/>
  <c r="U68" i="13"/>
  <c r="I69" i="13"/>
  <c r="F69" i="13"/>
  <c r="G69" i="13"/>
  <c r="H69" i="13"/>
  <c r="L69" i="13"/>
  <c r="N69" i="13"/>
  <c r="O69" i="13"/>
  <c r="P69" i="13"/>
  <c r="U69" i="13"/>
  <c r="V69" i="13"/>
  <c r="W69" i="13"/>
  <c r="G70" i="13"/>
  <c r="H70" i="13"/>
  <c r="I70" i="13"/>
  <c r="J70" i="13"/>
  <c r="K70" i="13"/>
  <c r="O70" i="13"/>
  <c r="P70" i="13"/>
  <c r="R70" i="13"/>
  <c r="S70" i="13"/>
  <c r="W70" i="13"/>
  <c r="G71" i="13"/>
  <c r="F71" i="13"/>
  <c r="M71" i="13"/>
  <c r="N71" i="13"/>
  <c r="U71" i="13"/>
  <c r="V71" i="13"/>
  <c r="C67" i="13"/>
  <c r="D67" i="13"/>
  <c r="F67" i="13"/>
  <c r="G67" i="13"/>
  <c r="H67" i="13"/>
  <c r="I67" i="13"/>
  <c r="K67" i="13"/>
  <c r="L67" i="13"/>
  <c r="N67" i="13"/>
  <c r="O67" i="13"/>
  <c r="P67" i="13"/>
  <c r="R67" i="13"/>
  <c r="S67" i="13"/>
  <c r="T67" i="13"/>
  <c r="V67" i="13"/>
  <c r="W67" i="13"/>
  <c r="C68" i="13"/>
  <c r="D68" i="13"/>
  <c r="E68" i="13"/>
  <c r="M68" i="13"/>
  <c r="C69" i="13"/>
  <c r="D69" i="13"/>
  <c r="E69" i="13"/>
  <c r="M69" i="13"/>
  <c r="C70" i="13"/>
  <c r="D70" i="13"/>
  <c r="L70" i="13"/>
  <c r="T70" i="13"/>
  <c r="C71" i="13"/>
  <c r="D71" i="13"/>
  <c r="O3" i="1"/>
  <c r="E4" i="2"/>
  <c r="C5" i="13"/>
  <c r="C6" i="13"/>
  <c r="C7" i="13"/>
  <c r="C8" i="13"/>
  <c r="C4" i="13"/>
  <c r="B19" i="15"/>
  <c r="B15" i="12" s="1"/>
  <c r="D35" i="22"/>
  <c r="E35" i="22" s="1"/>
  <c r="F35" i="22" s="1"/>
  <c r="G35" i="22" s="1"/>
  <c r="H35" i="22" s="1"/>
  <c r="D34" i="22"/>
  <c r="E34" i="22" s="1"/>
  <c r="F34" i="22" s="1"/>
  <c r="G34" i="22" s="1"/>
  <c r="H34" i="22" s="1"/>
  <c r="B31" i="15"/>
  <c r="E5" i="13"/>
  <c r="E6" i="13"/>
  <c r="E8" i="13"/>
  <c r="E7" i="13"/>
  <c r="E4" i="13"/>
  <c r="N7" i="2" l="1"/>
  <c r="O7" i="2" s="1"/>
  <c r="N10" i="2"/>
  <c r="O10" i="2" s="1"/>
  <c r="N47" i="2"/>
  <c r="O47" i="2" s="1"/>
  <c r="D4" i="2"/>
  <c r="E70" i="13"/>
  <c r="E67" i="13"/>
  <c r="Q67" i="13" s="1"/>
  <c r="R68" i="13"/>
  <c r="J68" i="13"/>
  <c r="I68" i="13"/>
  <c r="L68" i="13"/>
  <c r="T71" i="13"/>
  <c r="K71" i="13"/>
  <c r="E71" i="13"/>
  <c r="R71" i="13"/>
  <c r="T69" i="13"/>
  <c r="I71" i="13"/>
  <c r="V70" i="13"/>
  <c r="N70" i="13"/>
  <c r="F70" i="13"/>
  <c r="S69" i="13"/>
  <c r="K69" i="13"/>
  <c r="P68" i="13"/>
  <c r="H68" i="13"/>
  <c r="U67" i="13"/>
  <c r="M67" i="13"/>
  <c r="S68" i="13"/>
  <c r="S71" i="13"/>
  <c r="J71" i="13"/>
  <c r="P71" i="13"/>
  <c r="H71" i="13"/>
  <c r="U70" i="13"/>
  <c r="M70" i="13"/>
  <c r="Q70" i="13" s="1"/>
  <c r="R69" i="13"/>
  <c r="J69" i="13"/>
  <c r="Q69" i="13" s="1"/>
  <c r="W68" i="13"/>
  <c r="O68" i="13"/>
  <c r="G68" i="13"/>
  <c r="Q68" i="13" s="1"/>
  <c r="T68" i="13"/>
  <c r="L71" i="13"/>
  <c r="K68" i="13"/>
  <c r="W71" i="13"/>
  <c r="O71" i="13"/>
  <c r="V68" i="13"/>
  <c r="N68" i="13"/>
  <c r="E16" i="13"/>
  <c r="Q71" i="13" l="1"/>
  <c r="B3" i="15" l="1"/>
  <c r="C24" i="15"/>
  <c r="D24" i="15" s="1"/>
  <c r="E24" i="15" s="1"/>
  <c r="F24" i="15" s="1"/>
  <c r="G24" i="15" s="1"/>
  <c r="O8" i="1" l="1"/>
  <c r="C21" i="14"/>
  <c r="D21" i="14"/>
  <c r="E21" i="14"/>
  <c r="F21" i="14"/>
  <c r="G21" i="14"/>
  <c r="G26" i="14" s="1"/>
  <c r="C25" i="14"/>
  <c r="C26" i="14" s="1"/>
  <c r="D25" i="14"/>
  <c r="E25" i="14"/>
  <c r="E26" i="14" s="1"/>
  <c r="F25" i="14"/>
  <c r="G25" i="14"/>
  <c r="D26" i="14"/>
  <c r="F26" i="14"/>
  <c r="B26" i="14"/>
  <c r="B21" i="14"/>
  <c r="B25" i="14"/>
  <c r="C31" i="15"/>
  <c r="D31" i="15"/>
  <c r="E31" i="15"/>
  <c r="F31" i="15"/>
  <c r="G31" i="15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8" i="12"/>
  <c r="C18" i="12"/>
  <c r="D18" i="12"/>
  <c r="E18" i="12"/>
  <c r="F18" i="12"/>
  <c r="G18" i="12"/>
  <c r="C20" i="15"/>
  <c r="C16" i="12" s="1"/>
  <c r="D20" i="15"/>
  <c r="D16" i="12" s="1"/>
  <c r="E20" i="15"/>
  <c r="E16" i="12" s="1"/>
  <c r="F20" i="15"/>
  <c r="F16" i="12" s="1"/>
  <c r="G20" i="15"/>
  <c r="G16" i="12" s="1"/>
  <c r="C21" i="15"/>
  <c r="C17" i="12" s="1"/>
  <c r="D21" i="15"/>
  <c r="D17" i="12" s="1"/>
  <c r="E21" i="15"/>
  <c r="E17" i="12" s="1"/>
  <c r="F21" i="15"/>
  <c r="F17" i="12" s="1"/>
  <c r="G21" i="15"/>
  <c r="G17" i="12" s="1"/>
  <c r="B21" i="15"/>
  <c r="B17" i="12" s="1"/>
  <c r="B20" i="15"/>
  <c r="B16" i="12" s="1"/>
  <c r="D40" i="22"/>
  <c r="E40" i="22" s="1"/>
  <c r="F40" i="22" s="1"/>
  <c r="G40" i="22" s="1"/>
  <c r="H40" i="22" s="1"/>
  <c r="D39" i="22"/>
  <c r="E39" i="22" s="1"/>
  <c r="F39" i="22" s="1"/>
  <c r="G39" i="22" s="1"/>
  <c r="H39" i="22" s="1"/>
  <c r="E37" i="22"/>
  <c r="F37" i="22" s="1"/>
  <c r="G37" i="22" s="1"/>
  <c r="H37" i="22" s="1"/>
  <c r="D31" i="22"/>
  <c r="E31" i="22" s="1"/>
  <c r="F31" i="22" s="1"/>
  <c r="G31" i="22" s="1"/>
  <c r="H31" i="22" s="1"/>
  <c r="D32" i="22"/>
  <c r="E32" i="22" s="1"/>
  <c r="F32" i="22" s="1"/>
  <c r="G32" i="22" s="1"/>
  <c r="H32" i="22" s="1"/>
  <c r="D33" i="22"/>
  <c r="E33" i="22" s="1"/>
  <c r="F33" i="22" s="1"/>
  <c r="G33" i="22" s="1"/>
  <c r="H33" i="22" s="1"/>
  <c r="D36" i="22"/>
  <c r="E36" i="22" s="1"/>
  <c r="F36" i="22" s="1"/>
  <c r="G36" i="22" s="1"/>
  <c r="H36" i="22" s="1"/>
  <c r="D37" i="22"/>
  <c r="D38" i="22"/>
  <c r="E38" i="22" s="1"/>
  <c r="F38" i="22" s="1"/>
  <c r="G38" i="22" s="1"/>
  <c r="H38" i="22" s="1"/>
  <c r="D30" i="22"/>
  <c r="C12" i="15"/>
  <c r="C11" i="12" s="1"/>
  <c r="D12" i="15"/>
  <c r="D11" i="12" s="1"/>
  <c r="E12" i="15"/>
  <c r="E11" i="12" s="1"/>
  <c r="F12" i="15"/>
  <c r="F11" i="12" s="1"/>
  <c r="G12" i="15"/>
  <c r="G11" i="12" s="1"/>
  <c r="B12" i="15"/>
  <c r="B11" i="12" s="1"/>
  <c r="B11" i="14" s="1"/>
  <c r="B1" i="12"/>
  <c r="E30" i="22" l="1"/>
  <c r="D19" i="15" s="1"/>
  <c r="C19" i="15"/>
  <c r="F30" i="22"/>
  <c r="E19" i="15" s="1"/>
  <c r="D15" i="12"/>
  <c r="D19" i="12" s="1"/>
  <c r="C15" i="12"/>
  <c r="C19" i="12" s="1"/>
  <c r="B10" i="14"/>
  <c r="B13" i="14" s="1"/>
  <c r="C11" i="14"/>
  <c r="D11" i="14" s="1"/>
  <c r="E11" i="14" s="1"/>
  <c r="F11" i="14" s="1"/>
  <c r="G11" i="14" s="1"/>
  <c r="C36" i="13"/>
  <c r="D36" i="13"/>
  <c r="C37" i="13"/>
  <c r="D37" i="13"/>
  <c r="C38" i="13"/>
  <c r="D38" i="13"/>
  <c r="C39" i="13"/>
  <c r="D39" i="13"/>
  <c r="C52" i="13"/>
  <c r="D52" i="13"/>
  <c r="C53" i="13"/>
  <c r="D53" i="13"/>
  <c r="C55" i="13"/>
  <c r="D55" i="13"/>
  <c r="C56" i="13"/>
  <c r="D56" i="13"/>
  <c r="C57" i="13"/>
  <c r="D57" i="13"/>
  <c r="C58" i="13"/>
  <c r="D58" i="13"/>
  <c r="C72" i="13"/>
  <c r="D72" i="13"/>
  <c r="C73" i="13"/>
  <c r="D73" i="13"/>
  <c r="C75" i="13"/>
  <c r="D75" i="13"/>
  <c r="C76" i="13"/>
  <c r="D76" i="13"/>
  <c r="C77" i="13"/>
  <c r="D77" i="13"/>
  <c r="C78" i="13"/>
  <c r="D78" i="13"/>
  <c r="C10" i="14" l="1"/>
  <c r="C13" i="14" s="1"/>
  <c r="G30" i="22"/>
  <c r="F19" i="15" s="1"/>
  <c r="E15" i="12"/>
  <c r="E19" i="12" s="1"/>
  <c r="B19" i="12"/>
  <c r="F5" i="18"/>
  <c r="F3" i="18"/>
  <c r="F4" i="18"/>
  <c r="F2" i="18"/>
  <c r="F15" i="13"/>
  <c r="G15" i="13" s="1"/>
  <c r="E53" i="13"/>
  <c r="C34" i="13"/>
  <c r="E34" i="13" s="1"/>
  <c r="D34" i="13"/>
  <c r="E22" i="13"/>
  <c r="F18" i="13"/>
  <c r="G18" i="13" s="1"/>
  <c r="H18" i="13" s="1"/>
  <c r="I18" i="13" s="1"/>
  <c r="F19" i="13"/>
  <c r="G19" i="13" s="1"/>
  <c r="F20" i="13"/>
  <c r="G20" i="13" s="1"/>
  <c r="H20" i="13" s="1"/>
  <c r="F17" i="13"/>
  <c r="F5" i="13"/>
  <c r="G5" i="13" s="1"/>
  <c r="F6" i="13"/>
  <c r="G6" i="13" s="1"/>
  <c r="F7" i="13"/>
  <c r="G7" i="13" s="1"/>
  <c r="F8" i="13"/>
  <c r="F14" i="13"/>
  <c r="F4" i="13"/>
  <c r="G4" i="13" s="1"/>
  <c r="H4" i="13" s="1"/>
  <c r="E21" i="13"/>
  <c r="E55" i="13"/>
  <c r="E52" i="13"/>
  <c r="D33" i="13"/>
  <c r="C33" i="13"/>
  <c r="E36" i="13"/>
  <c r="E37" i="13"/>
  <c r="E38" i="13"/>
  <c r="D27" i="2"/>
  <c r="D26" i="2"/>
  <c r="D33" i="2"/>
  <c r="D32" i="2"/>
  <c r="D31" i="2"/>
  <c r="B33" i="2"/>
  <c r="B32" i="2"/>
  <c r="E31" i="2"/>
  <c r="B31" i="2"/>
  <c r="G5" i="8"/>
  <c r="D10" i="14" l="1"/>
  <c r="E10" i="14" s="1"/>
  <c r="G14" i="13"/>
  <c r="F15" i="12"/>
  <c r="F19" i="12" s="1"/>
  <c r="H30" i="22"/>
  <c r="F57" i="13"/>
  <c r="C27" i="13"/>
  <c r="E27" i="13" s="1"/>
  <c r="C66" i="13"/>
  <c r="C46" i="13"/>
  <c r="C45" i="13"/>
  <c r="C65" i="13"/>
  <c r="C43" i="13"/>
  <c r="C63" i="13"/>
  <c r="C25" i="13"/>
  <c r="E25" i="13" s="1"/>
  <c r="C64" i="13"/>
  <c r="C44" i="13"/>
  <c r="C42" i="13"/>
  <c r="C62" i="13"/>
  <c r="F16" i="13"/>
  <c r="E73" i="13"/>
  <c r="F34" i="13"/>
  <c r="G34" i="13"/>
  <c r="H15" i="13"/>
  <c r="G53" i="13"/>
  <c r="F53" i="13"/>
  <c r="F21" i="13"/>
  <c r="F56" i="13"/>
  <c r="F58" i="13"/>
  <c r="F39" i="13"/>
  <c r="E56" i="13"/>
  <c r="E76" i="13" s="1"/>
  <c r="E58" i="13"/>
  <c r="E57" i="13"/>
  <c r="E77" i="13" s="1"/>
  <c r="F52" i="13"/>
  <c r="H14" i="13"/>
  <c r="I14" i="13" s="1"/>
  <c r="J14" i="13" s="1"/>
  <c r="K14" i="13" s="1"/>
  <c r="L14" i="13" s="1"/>
  <c r="M14" i="13" s="1"/>
  <c r="N14" i="13" s="1"/>
  <c r="O14" i="13" s="1"/>
  <c r="P14" i="13" s="1"/>
  <c r="R14" i="13" s="1"/>
  <c r="S14" i="13" s="1"/>
  <c r="T14" i="13" s="1"/>
  <c r="U14" i="13" s="1"/>
  <c r="V14" i="13" s="1"/>
  <c r="W14" i="13" s="1"/>
  <c r="G52" i="13"/>
  <c r="F33" i="13"/>
  <c r="G8" i="13"/>
  <c r="H8" i="13" s="1"/>
  <c r="I8" i="13" s="1"/>
  <c r="J8" i="13" s="1"/>
  <c r="K8" i="13" s="1"/>
  <c r="L8" i="13" s="1"/>
  <c r="M8" i="13" s="1"/>
  <c r="N8" i="13" s="1"/>
  <c r="O8" i="13" s="1"/>
  <c r="P8" i="13" s="1"/>
  <c r="R8" i="13" s="1"/>
  <c r="S8" i="13" s="1"/>
  <c r="T8" i="13" s="1"/>
  <c r="U8" i="13" s="1"/>
  <c r="V8" i="13" s="1"/>
  <c r="W8" i="13" s="1"/>
  <c r="H7" i="13"/>
  <c r="I7" i="13" s="1"/>
  <c r="J7" i="13" s="1"/>
  <c r="K7" i="13" s="1"/>
  <c r="L7" i="13" s="1"/>
  <c r="M7" i="13" s="1"/>
  <c r="N7" i="13" s="1"/>
  <c r="O7" i="13" s="1"/>
  <c r="P7" i="13" s="1"/>
  <c r="R7" i="13" s="1"/>
  <c r="S7" i="13" s="1"/>
  <c r="T7" i="13" s="1"/>
  <c r="U7" i="13" s="1"/>
  <c r="V7" i="13" s="1"/>
  <c r="W7" i="13" s="1"/>
  <c r="G39" i="13"/>
  <c r="H19" i="13"/>
  <c r="I19" i="13" s="1"/>
  <c r="G38" i="13"/>
  <c r="E75" i="13"/>
  <c r="H6" i="13"/>
  <c r="H5" i="13"/>
  <c r="I5" i="13" s="1"/>
  <c r="J5" i="13" s="1"/>
  <c r="K5" i="13" s="1"/>
  <c r="L5" i="13" s="1"/>
  <c r="M5" i="13" s="1"/>
  <c r="N5" i="13" s="1"/>
  <c r="O5" i="13" s="1"/>
  <c r="P5" i="13" s="1"/>
  <c r="R5" i="13" s="1"/>
  <c r="S5" i="13" s="1"/>
  <c r="T5" i="13" s="1"/>
  <c r="U5" i="13" s="1"/>
  <c r="V5" i="13" s="1"/>
  <c r="W5" i="13" s="1"/>
  <c r="E39" i="13"/>
  <c r="G17" i="13"/>
  <c r="G36" i="13" s="1"/>
  <c r="E33" i="13"/>
  <c r="E72" i="13" s="1"/>
  <c r="F37" i="13"/>
  <c r="F36" i="13"/>
  <c r="F38" i="13"/>
  <c r="G57" i="13"/>
  <c r="G33" i="13"/>
  <c r="H39" i="13"/>
  <c r="I20" i="13"/>
  <c r="I37" i="13"/>
  <c r="J18" i="13"/>
  <c r="I4" i="13"/>
  <c r="G58" i="13"/>
  <c r="G56" i="13"/>
  <c r="G37" i="13"/>
  <c r="I56" i="13"/>
  <c r="H56" i="13"/>
  <c r="H37" i="13"/>
  <c r="F55" i="13"/>
  <c r="H58" i="13"/>
  <c r="C23" i="13"/>
  <c r="G23" i="13" s="1"/>
  <c r="C24" i="13"/>
  <c r="E24" i="13" s="1"/>
  <c r="C26" i="13"/>
  <c r="G26" i="13" s="1"/>
  <c r="D13" i="14" l="1"/>
  <c r="G15" i="12"/>
  <c r="G19" i="12" s="1"/>
  <c r="G19" i="15"/>
  <c r="H57" i="13"/>
  <c r="H38" i="13"/>
  <c r="Q14" i="13"/>
  <c r="F27" i="13"/>
  <c r="G25" i="13"/>
  <c r="F77" i="13"/>
  <c r="F10" i="14"/>
  <c r="E13" i="14"/>
  <c r="F78" i="13"/>
  <c r="F25" i="13"/>
  <c r="G16" i="13"/>
  <c r="G21" i="13"/>
  <c r="G55" i="13"/>
  <c r="G59" i="13" s="1"/>
  <c r="F76" i="13"/>
  <c r="F59" i="13"/>
  <c r="H34" i="13"/>
  <c r="H16" i="13"/>
  <c r="I15" i="13"/>
  <c r="H53" i="13"/>
  <c r="G73" i="13"/>
  <c r="F73" i="13"/>
  <c r="G27" i="13"/>
  <c r="H52" i="13"/>
  <c r="Q5" i="13"/>
  <c r="J20" i="13"/>
  <c r="K20" i="13" s="1"/>
  <c r="L20" i="13" s="1"/>
  <c r="M20" i="13" s="1"/>
  <c r="N20" i="13" s="1"/>
  <c r="O20" i="13" s="1"/>
  <c r="P20" i="13" s="1"/>
  <c r="R20" i="13" s="1"/>
  <c r="S20" i="13" s="1"/>
  <c r="T20" i="13" s="1"/>
  <c r="U20" i="13" s="1"/>
  <c r="V20" i="13" s="1"/>
  <c r="W20" i="13" s="1"/>
  <c r="H17" i="13"/>
  <c r="H55" i="13" s="1"/>
  <c r="K18" i="13"/>
  <c r="L18" i="13" s="1"/>
  <c r="M18" i="13" s="1"/>
  <c r="N18" i="13" s="1"/>
  <c r="O18" i="13" s="1"/>
  <c r="P18" i="13" s="1"/>
  <c r="R18" i="13" s="1"/>
  <c r="S18" i="13" s="1"/>
  <c r="T18" i="13" s="1"/>
  <c r="U18" i="13" s="1"/>
  <c r="V18" i="13" s="1"/>
  <c r="W18" i="13" s="1"/>
  <c r="H33" i="13"/>
  <c r="G77" i="13"/>
  <c r="E59" i="13"/>
  <c r="F75" i="13"/>
  <c r="F72" i="13"/>
  <c r="G78" i="13"/>
  <c r="G72" i="13"/>
  <c r="E78" i="13"/>
  <c r="E79" i="13" s="1"/>
  <c r="Q8" i="13"/>
  <c r="Q7" i="13"/>
  <c r="H24" i="13"/>
  <c r="F22" i="13"/>
  <c r="E40" i="13"/>
  <c r="B8" i="15" s="1"/>
  <c r="F26" i="13"/>
  <c r="E26" i="13"/>
  <c r="G24" i="13"/>
  <c r="F24" i="13"/>
  <c r="E23" i="13"/>
  <c r="F23" i="13"/>
  <c r="H76" i="13"/>
  <c r="I6" i="13"/>
  <c r="J6" i="13" s="1"/>
  <c r="K6" i="13" s="1"/>
  <c r="L6" i="13" s="1"/>
  <c r="M6" i="13" s="1"/>
  <c r="N6" i="13" s="1"/>
  <c r="O6" i="13" s="1"/>
  <c r="P6" i="13" s="1"/>
  <c r="R6" i="13" s="1"/>
  <c r="S6" i="13" s="1"/>
  <c r="T6" i="13" s="1"/>
  <c r="U6" i="13" s="1"/>
  <c r="V6" i="13" s="1"/>
  <c r="W6" i="13" s="1"/>
  <c r="H25" i="13"/>
  <c r="F40" i="13"/>
  <c r="C8" i="15" s="1"/>
  <c r="H78" i="13"/>
  <c r="I76" i="13"/>
  <c r="G76" i="13"/>
  <c r="J4" i="13"/>
  <c r="J19" i="13"/>
  <c r="I38" i="13"/>
  <c r="I57" i="13"/>
  <c r="J56" i="13"/>
  <c r="J37" i="13"/>
  <c r="G40" i="13"/>
  <c r="D8" i="15" s="1"/>
  <c r="H27" i="13"/>
  <c r="H26" i="13"/>
  <c r="H23" i="13"/>
  <c r="I58" i="13"/>
  <c r="I39" i="13"/>
  <c r="I24" i="13"/>
  <c r="I23" i="13"/>
  <c r="I33" i="13"/>
  <c r="I52" i="13"/>
  <c r="H77" i="13" l="1"/>
  <c r="H59" i="13"/>
  <c r="G22" i="13"/>
  <c r="G75" i="13"/>
  <c r="G79" i="13" s="1"/>
  <c r="G10" i="14"/>
  <c r="G13" i="14" s="1"/>
  <c r="F13" i="14"/>
  <c r="F79" i="13"/>
  <c r="G35" i="13"/>
  <c r="D7" i="15" s="1"/>
  <c r="E35" i="13"/>
  <c r="E41" i="13" s="1"/>
  <c r="H72" i="13"/>
  <c r="F35" i="13"/>
  <c r="I53" i="13"/>
  <c r="J15" i="13"/>
  <c r="I34" i="13"/>
  <c r="I16" i="13"/>
  <c r="H35" i="13"/>
  <c r="E7" i="15" s="1"/>
  <c r="H73" i="13"/>
  <c r="I17" i="13"/>
  <c r="H21" i="13"/>
  <c r="H36" i="13"/>
  <c r="Q20" i="13"/>
  <c r="Q18" i="13"/>
  <c r="J76" i="13"/>
  <c r="I77" i="13"/>
  <c r="Q6" i="13"/>
  <c r="I25" i="13"/>
  <c r="K19" i="13"/>
  <c r="J38" i="13"/>
  <c r="J57" i="13"/>
  <c r="K4" i="13"/>
  <c r="K37" i="13"/>
  <c r="K56" i="13"/>
  <c r="I27" i="13"/>
  <c r="I26" i="13"/>
  <c r="I72" i="13"/>
  <c r="J33" i="13"/>
  <c r="J52" i="13"/>
  <c r="J24" i="13"/>
  <c r="J25" i="13"/>
  <c r="I78" i="13"/>
  <c r="J23" i="13"/>
  <c r="J39" i="13"/>
  <c r="J58" i="13"/>
  <c r="D9" i="15" l="1"/>
  <c r="D10" i="15" s="1"/>
  <c r="D4" i="12" s="1"/>
  <c r="D6" i="12" s="1"/>
  <c r="E9" i="15"/>
  <c r="G41" i="13"/>
  <c r="G60" i="13" s="1"/>
  <c r="F41" i="13"/>
  <c r="F60" i="13" s="1"/>
  <c r="C7" i="15"/>
  <c r="B7" i="15"/>
  <c r="J34" i="13"/>
  <c r="J53" i="13"/>
  <c r="K15" i="13"/>
  <c r="J16" i="13"/>
  <c r="I35" i="13"/>
  <c r="F7" i="15" s="1"/>
  <c r="I73" i="13"/>
  <c r="H40" i="13"/>
  <c r="H75" i="13"/>
  <c r="H79" i="13" s="1"/>
  <c r="J17" i="13"/>
  <c r="I55" i="13"/>
  <c r="I59" i="13" s="1"/>
  <c r="I21" i="13"/>
  <c r="I22" i="13" s="1"/>
  <c r="I36" i="13"/>
  <c r="H22" i="13"/>
  <c r="J78" i="13"/>
  <c r="E60" i="13"/>
  <c r="J77" i="13"/>
  <c r="L4" i="13"/>
  <c r="L19" i="13"/>
  <c r="K38" i="13"/>
  <c r="K57" i="13"/>
  <c r="K76" i="13"/>
  <c r="L56" i="13"/>
  <c r="L37" i="13"/>
  <c r="J26" i="13"/>
  <c r="J27" i="13"/>
  <c r="K33" i="13"/>
  <c r="K52" i="13"/>
  <c r="K39" i="13"/>
  <c r="K58" i="13"/>
  <c r="K25" i="13"/>
  <c r="J72" i="13"/>
  <c r="K24" i="13"/>
  <c r="K23" i="13"/>
  <c r="F9" i="15" l="1"/>
  <c r="C9" i="15"/>
  <c r="C10" i="15" s="1"/>
  <c r="C4" i="12" s="1"/>
  <c r="C6" i="12" s="1"/>
  <c r="H41" i="13"/>
  <c r="H60" i="13" s="1"/>
  <c r="E8" i="15"/>
  <c r="E10" i="15" s="1"/>
  <c r="E4" i="12" s="1"/>
  <c r="E6" i="12" s="1"/>
  <c r="B9" i="15"/>
  <c r="B10" i="15" s="1"/>
  <c r="B15" i="15" s="1"/>
  <c r="K34" i="13"/>
  <c r="K53" i="13"/>
  <c r="L15" i="13"/>
  <c r="K16" i="13"/>
  <c r="J35" i="13"/>
  <c r="G7" i="15" s="1"/>
  <c r="J73" i="13"/>
  <c r="K17" i="13"/>
  <c r="J36" i="13"/>
  <c r="J21" i="13"/>
  <c r="J22" i="13" s="1"/>
  <c r="J55" i="13"/>
  <c r="J59" i="13" s="1"/>
  <c r="I40" i="13"/>
  <c r="I75" i="13"/>
  <c r="I79" i="13" s="1"/>
  <c r="K77" i="13"/>
  <c r="L76" i="13"/>
  <c r="M19" i="13"/>
  <c r="L57" i="13"/>
  <c r="L38" i="13"/>
  <c r="M4" i="13"/>
  <c r="M37" i="13"/>
  <c r="M56" i="13"/>
  <c r="K26" i="13"/>
  <c r="K27" i="13"/>
  <c r="K78" i="13"/>
  <c r="L23" i="13"/>
  <c r="L24" i="13"/>
  <c r="L25" i="13"/>
  <c r="L33" i="13"/>
  <c r="L52" i="13"/>
  <c r="L39" i="13"/>
  <c r="L58" i="13"/>
  <c r="K72" i="13"/>
  <c r="G9" i="15" l="1"/>
  <c r="I41" i="13"/>
  <c r="I60" i="13" s="1"/>
  <c r="F8" i="15"/>
  <c r="F10" i="15" s="1"/>
  <c r="L16" i="13"/>
  <c r="L53" i="13"/>
  <c r="L34" i="13"/>
  <c r="M15" i="13"/>
  <c r="K35" i="13"/>
  <c r="K73" i="13"/>
  <c r="J75" i="13"/>
  <c r="J79" i="13" s="1"/>
  <c r="J40" i="13"/>
  <c r="L17" i="13"/>
  <c r="K55" i="13"/>
  <c r="K59" i="13" s="1"/>
  <c r="K36" i="13"/>
  <c r="K21" i="13"/>
  <c r="K22" i="13" s="1"/>
  <c r="L77" i="13"/>
  <c r="L78" i="13"/>
  <c r="N4" i="13"/>
  <c r="N19" i="13"/>
  <c r="M38" i="13"/>
  <c r="M57" i="13"/>
  <c r="M76" i="13"/>
  <c r="N56" i="13"/>
  <c r="N37" i="13"/>
  <c r="L27" i="13"/>
  <c r="L26" i="13"/>
  <c r="L72" i="13"/>
  <c r="M24" i="13"/>
  <c r="M23" i="13"/>
  <c r="M52" i="13"/>
  <c r="M33" i="13"/>
  <c r="M39" i="13"/>
  <c r="M58" i="13"/>
  <c r="M25" i="13"/>
  <c r="J16" i="8"/>
  <c r="J14" i="8"/>
  <c r="J15" i="8"/>
  <c r="J13" i="8"/>
  <c r="C20" i="6"/>
  <c r="C21" i="6"/>
  <c r="C19" i="6"/>
  <c r="F18" i="6"/>
  <c r="F19" i="6"/>
  <c r="F20" i="6"/>
  <c r="F21" i="6"/>
  <c r="F22" i="6"/>
  <c r="F23" i="6"/>
  <c r="F11" i="6"/>
  <c r="D18" i="6"/>
  <c r="D19" i="6"/>
  <c r="D20" i="6"/>
  <c r="D21" i="6"/>
  <c r="D22" i="6"/>
  <c r="D23" i="6"/>
  <c r="H43" i="2"/>
  <c r="P44" i="1"/>
  <c r="P45" i="1"/>
  <c r="P46" i="1"/>
  <c r="P47" i="1"/>
  <c r="P48" i="1"/>
  <c r="P49" i="1"/>
  <c r="H36" i="2"/>
  <c r="H37" i="2"/>
  <c r="H38" i="2"/>
  <c r="H39" i="2"/>
  <c r="H40" i="2"/>
  <c r="H41" i="2"/>
  <c r="H42" i="2"/>
  <c r="H35" i="2"/>
  <c r="O10" i="1"/>
  <c r="E27" i="2" s="1"/>
  <c r="B26" i="2"/>
  <c r="B27" i="2"/>
  <c r="D25" i="2"/>
  <c r="B25" i="2"/>
  <c r="D24" i="2"/>
  <c r="L10" i="1"/>
  <c r="O6" i="1"/>
  <c r="L6" i="1"/>
  <c r="B24" i="2"/>
  <c r="D5" i="2"/>
  <c r="J41" i="13" l="1"/>
  <c r="J60" i="13" s="1"/>
  <c r="G8" i="15"/>
  <c r="G10" i="15" s="1"/>
  <c r="G4" i="12" s="1"/>
  <c r="G6" i="12" s="1"/>
  <c r="L73" i="13"/>
  <c r="L35" i="13"/>
  <c r="N15" i="13"/>
  <c r="M16" i="13"/>
  <c r="M53" i="13"/>
  <c r="M34" i="13"/>
  <c r="K40" i="13"/>
  <c r="K41" i="13" s="1"/>
  <c r="K60" i="13" s="1"/>
  <c r="K75" i="13"/>
  <c r="K79" i="13" s="1"/>
  <c r="M17" i="13"/>
  <c r="L36" i="13"/>
  <c r="L55" i="13"/>
  <c r="L59" i="13" s="1"/>
  <c r="L21" i="13"/>
  <c r="L22" i="13" s="1"/>
  <c r="M77" i="13"/>
  <c r="N76" i="13"/>
  <c r="M72" i="13"/>
  <c r="O19" i="13"/>
  <c r="N38" i="13"/>
  <c r="N57" i="13"/>
  <c r="M78" i="13"/>
  <c r="O4" i="13"/>
  <c r="O37" i="13"/>
  <c r="O56" i="13"/>
  <c r="M27" i="13"/>
  <c r="M26" i="13"/>
  <c r="N39" i="13"/>
  <c r="N58" i="13"/>
  <c r="N52" i="13"/>
  <c r="N33" i="13"/>
  <c r="N24" i="13"/>
  <c r="N25" i="13"/>
  <c r="N23" i="13"/>
  <c r="E19" i="6"/>
  <c r="Q45" i="1" s="1"/>
  <c r="O45" i="1" s="1"/>
  <c r="N39" i="2" s="1"/>
  <c r="O39" i="2" s="1"/>
  <c r="E18" i="6"/>
  <c r="Q44" i="1" s="1"/>
  <c r="O44" i="1" s="1"/>
  <c r="N38" i="2" s="1"/>
  <c r="O38" i="2" s="1"/>
  <c r="E23" i="6"/>
  <c r="Q49" i="1" s="1"/>
  <c r="O49" i="1" s="1"/>
  <c r="N43" i="2" s="1"/>
  <c r="O43" i="2" s="1"/>
  <c r="E22" i="6"/>
  <c r="Q48" i="1" s="1"/>
  <c r="O48" i="1" s="1"/>
  <c r="N42" i="2" s="1"/>
  <c r="O42" i="2" s="1"/>
  <c r="E21" i="6"/>
  <c r="Q47" i="1" s="1"/>
  <c r="O47" i="1" s="1"/>
  <c r="N41" i="2" s="1"/>
  <c r="O41" i="2" s="1"/>
  <c r="E20" i="6"/>
  <c r="Q46" i="1" s="1"/>
  <c r="O46" i="1" s="1"/>
  <c r="N40" i="2" s="1"/>
  <c r="O40" i="2" s="1"/>
  <c r="M73" i="13" l="1"/>
  <c r="M35" i="13"/>
  <c r="O15" i="13"/>
  <c r="N16" i="13"/>
  <c r="N34" i="13"/>
  <c r="N53" i="13"/>
  <c r="N17" i="13"/>
  <c r="M21" i="13"/>
  <c r="M22" i="13" s="1"/>
  <c r="M55" i="13"/>
  <c r="M59" i="13" s="1"/>
  <c r="M36" i="13"/>
  <c r="L40" i="13"/>
  <c r="L41" i="13" s="1"/>
  <c r="L60" i="13" s="1"/>
  <c r="L75" i="13"/>
  <c r="L79" i="13" s="1"/>
  <c r="N72" i="13"/>
  <c r="N77" i="13"/>
  <c r="P19" i="13"/>
  <c r="Q19" i="13" s="1"/>
  <c r="O38" i="13"/>
  <c r="O57" i="13"/>
  <c r="P4" i="13"/>
  <c r="Q4" i="13" s="1"/>
  <c r="O76" i="13"/>
  <c r="P56" i="13"/>
  <c r="Q56" i="13" s="1"/>
  <c r="P37" i="13"/>
  <c r="N27" i="13"/>
  <c r="N26" i="13"/>
  <c r="O24" i="13"/>
  <c r="O23" i="13"/>
  <c r="O25" i="13"/>
  <c r="O52" i="13"/>
  <c r="O33" i="13"/>
  <c r="N78" i="13"/>
  <c r="O39" i="13"/>
  <c r="O58" i="13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Q39" i="1"/>
  <c r="P30" i="1"/>
  <c r="D3" i="6"/>
  <c r="E3" i="6" s="1"/>
  <c r="F5" i="6"/>
  <c r="E10" i="6"/>
  <c r="Q32" i="1" s="1"/>
  <c r="E11" i="6"/>
  <c r="Q37" i="1" s="1"/>
  <c r="E12" i="6"/>
  <c r="Q41" i="1" s="1"/>
  <c r="E13" i="6"/>
  <c r="Q38" i="1" s="1"/>
  <c r="D4" i="6"/>
  <c r="E4" i="6" s="1"/>
  <c r="Q34" i="1" s="1"/>
  <c r="D5" i="6"/>
  <c r="E5" i="6" s="1"/>
  <c r="D6" i="6"/>
  <c r="E6" i="6" s="1"/>
  <c r="Q31" i="1" s="1"/>
  <c r="D7" i="6"/>
  <c r="D8" i="6"/>
  <c r="D9" i="6"/>
  <c r="E9" i="6" s="1"/>
  <c r="Q36" i="1" s="1"/>
  <c r="D10" i="6"/>
  <c r="D11" i="6"/>
  <c r="D12" i="6"/>
  <c r="D13" i="6"/>
  <c r="D14" i="6"/>
  <c r="E14" i="6" s="1"/>
  <c r="Q33" i="1" s="1"/>
  <c r="D15" i="6"/>
  <c r="E15" i="6" s="1"/>
  <c r="Q30" i="1" s="1"/>
  <c r="D16" i="6"/>
  <c r="E16" i="6" s="1"/>
  <c r="D17" i="6"/>
  <c r="F17" i="6"/>
  <c r="F15" i="6"/>
  <c r="F16" i="6"/>
  <c r="H32" i="2"/>
  <c r="H31" i="2"/>
  <c r="H30" i="2"/>
  <c r="H29" i="2"/>
  <c r="H28" i="2"/>
  <c r="H27" i="2"/>
  <c r="H26" i="2"/>
  <c r="H25" i="2"/>
  <c r="H24" i="2"/>
  <c r="H23" i="2"/>
  <c r="H21" i="2"/>
  <c r="H20" i="2"/>
  <c r="H19" i="2"/>
  <c r="H18" i="2"/>
  <c r="H17" i="2"/>
  <c r="H16" i="2"/>
  <c r="H14" i="2"/>
  <c r="H13" i="2"/>
  <c r="H15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L3" i="1"/>
  <c r="E18" i="2"/>
  <c r="L4" i="1"/>
  <c r="O4" i="1"/>
  <c r="L5" i="1"/>
  <c r="O5" i="1"/>
  <c r="E6" i="2" s="1"/>
  <c r="O7" i="1"/>
  <c r="E33" i="2" s="1"/>
  <c r="L8" i="1"/>
  <c r="E15" i="2"/>
  <c r="L9" i="1"/>
  <c r="E21" i="2"/>
  <c r="L11" i="1"/>
  <c r="O11" i="1"/>
  <c r="E22" i="2" s="1"/>
  <c r="L12" i="1"/>
  <c r="O12" i="1"/>
  <c r="E9" i="2" s="1"/>
  <c r="L13" i="1"/>
  <c r="O13" i="1"/>
  <c r="L14" i="1"/>
  <c r="O14" i="1"/>
  <c r="E13" i="2" s="1"/>
  <c r="L15" i="1"/>
  <c r="O15" i="1"/>
  <c r="E14" i="2" s="1"/>
  <c r="L16" i="1"/>
  <c r="O16" i="1"/>
  <c r="L17" i="1"/>
  <c r="O17" i="1"/>
  <c r="N32" i="2" s="1"/>
  <c r="O32" i="2" s="1"/>
  <c r="L18" i="1"/>
  <c r="O18" i="1"/>
  <c r="L19" i="1"/>
  <c r="O19" i="1"/>
  <c r="L20" i="1"/>
  <c r="O20" i="1"/>
  <c r="N15" i="2" s="1"/>
  <c r="O15" i="2" s="1"/>
  <c r="L21" i="1"/>
  <c r="O21" i="1"/>
  <c r="E28" i="2" s="1"/>
  <c r="L22" i="1"/>
  <c r="O22" i="1"/>
  <c r="N12" i="2" s="1"/>
  <c r="O12" i="2" s="1"/>
  <c r="L29" i="1"/>
  <c r="O29" i="1"/>
  <c r="E11" i="2"/>
  <c r="F4" i="6"/>
  <c r="F6" i="6"/>
  <c r="F7" i="6"/>
  <c r="F8" i="6"/>
  <c r="F9" i="6"/>
  <c r="F10" i="6"/>
  <c r="F12" i="6"/>
  <c r="F13" i="6"/>
  <c r="F14" i="6"/>
  <c r="F3" i="6"/>
  <c r="E7" i="2" l="1"/>
  <c r="E25" i="2"/>
  <c r="E32" i="2"/>
  <c r="E30" i="2" s="1"/>
  <c r="C7" i="1" s="1"/>
  <c r="N73" i="13"/>
  <c r="N35" i="13"/>
  <c r="O34" i="13"/>
  <c r="P15" i="13"/>
  <c r="O16" i="13"/>
  <c r="O53" i="13"/>
  <c r="M40" i="13"/>
  <c r="M41" i="13" s="1"/>
  <c r="M60" i="13" s="1"/>
  <c r="M75" i="13"/>
  <c r="M79" i="13" s="1"/>
  <c r="O17" i="13"/>
  <c r="N21" i="13"/>
  <c r="N22" i="13" s="1"/>
  <c r="N55" i="13"/>
  <c r="N59" i="13" s="1"/>
  <c r="N36" i="13"/>
  <c r="P76" i="13"/>
  <c r="Q76" i="13" s="1"/>
  <c r="Q37" i="13"/>
  <c r="O77" i="13"/>
  <c r="R19" i="13"/>
  <c r="P57" i="13"/>
  <c r="Q57" i="13" s="1"/>
  <c r="P38" i="13"/>
  <c r="R4" i="13"/>
  <c r="R37" i="13"/>
  <c r="R56" i="13"/>
  <c r="O26" i="13"/>
  <c r="O27" i="13"/>
  <c r="P33" i="13"/>
  <c r="Q33" i="13" s="1"/>
  <c r="P52" i="13"/>
  <c r="Q52" i="13" s="1"/>
  <c r="O72" i="13"/>
  <c r="P24" i="13"/>
  <c r="Q24" i="13" s="1"/>
  <c r="P23" i="13"/>
  <c r="Q23" i="13" s="1"/>
  <c r="P25" i="13"/>
  <c r="Q25" i="13" s="1"/>
  <c r="O78" i="13"/>
  <c r="P58" i="13"/>
  <c r="Q58" i="13" s="1"/>
  <c r="P39" i="13"/>
  <c r="Q39" i="13" s="1"/>
  <c r="E8" i="2"/>
  <c r="E17" i="6"/>
  <c r="Q40" i="1" s="1"/>
  <c r="O40" i="1" s="1"/>
  <c r="N23" i="2" s="1"/>
  <c r="E8" i="6"/>
  <c r="Q35" i="1" s="1"/>
  <c r="O35" i="1" s="1"/>
  <c r="N18" i="2" s="1"/>
  <c r="O18" i="2" s="1"/>
  <c r="E7" i="6"/>
  <c r="Q43" i="1" s="1"/>
  <c r="O43" i="1" s="1"/>
  <c r="N25" i="2" s="1"/>
  <c r="O25" i="2" s="1"/>
  <c r="Q42" i="1"/>
  <c r="O42" i="1" s="1"/>
  <c r="N27" i="2" s="1"/>
  <c r="O27" i="2" s="1"/>
  <c r="P50" i="1"/>
  <c r="O41" i="1"/>
  <c r="N24" i="2" s="1"/>
  <c r="O24" i="2" s="1"/>
  <c r="O32" i="1"/>
  <c r="E20" i="2"/>
  <c r="E26" i="2"/>
  <c r="E16" i="2"/>
  <c r="O39" i="1"/>
  <c r="N31" i="2" s="1"/>
  <c r="O31" i="2" s="1"/>
  <c r="O31" i="1"/>
  <c r="N13" i="2" s="1"/>
  <c r="O13" i="2" s="1"/>
  <c r="E24" i="2"/>
  <c r="E19" i="2"/>
  <c r="E5" i="2"/>
  <c r="O30" i="1"/>
  <c r="O33" i="1"/>
  <c r="O36" i="1"/>
  <c r="N19" i="2" s="1"/>
  <c r="O19" i="2" s="1"/>
  <c r="O38" i="1"/>
  <c r="O37" i="1"/>
  <c r="N20" i="2" s="1"/>
  <c r="O20" i="2" s="1"/>
  <c r="O34" i="1"/>
  <c r="N17" i="2" s="1"/>
  <c r="O17" i="2" s="1"/>
  <c r="D9" i="2"/>
  <c r="D22" i="2"/>
  <c r="D21" i="2"/>
  <c r="D20" i="2"/>
  <c r="D19" i="2"/>
  <c r="D18" i="2"/>
  <c r="D11" i="2"/>
  <c r="D16" i="2"/>
  <c r="D14" i="2"/>
  <c r="D13" i="2"/>
  <c r="D8" i="13" l="1"/>
  <c r="D7" i="1"/>
  <c r="F7" i="1"/>
  <c r="G7" i="1" s="1"/>
  <c r="N50" i="2"/>
  <c r="O50" i="2" s="1"/>
  <c r="N8" i="2"/>
  <c r="O8" i="2" s="1"/>
  <c r="N14" i="2"/>
  <c r="O14" i="2" s="1"/>
  <c r="N48" i="2"/>
  <c r="N51" i="2"/>
  <c r="O51" i="2" s="1"/>
  <c r="P53" i="13"/>
  <c r="P34" i="13"/>
  <c r="P16" i="13"/>
  <c r="R15" i="13"/>
  <c r="Q15" i="13"/>
  <c r="Q16" i="13" s="1"/>
  <c r="O73" i="13"/>
  <c r="O35" i="13"/>
  <c r="N75" i="13"/>
  <c r="N79" i="13" s="1"/>
  <c r="N40" i="13"/>
  <c r="N41" i="13" s="1"/>
  <c r="N60" i="13" s="1"/>
  <c r="P17" i="13"/>
  <c r="O21" i="13"/>
  <c r="O22" i="13" s="1"/>
  <c r="O36" i="13"/>
  <c r="O55" i="13"/>
  <c r="O59" i="13" s="1"/>
  <c r="P77" i="13"/>
  <c r="Q77" i="13" s="1"/>
  <c r="Q38" i="13"/>
  <c r="P78" i="13"/>
  <c r="Q78" i="13" s="1"/>
  <c r="S4" i="13"/>
  <c r="S19" i="13"/>
  <c r="R38" i="13"/>
  <c r="R57" i="13"/>
  <c r="S37" i="13"/>
  <c r="S56" i="13"/>
  <c r="R76" i="13"/>
  <c r="P26" i="13"/>
  <c r="Q26" i="13" s="1"/>
  <c r="P27" i="13"/>
  <c r="Q27" i="13" s="1"/>
  <c r="R25" i="13"/>
  <c r="R23" i="13"/>
  <c r="R24" i="13"/>
  <c r="R33" i="13"/>
  <c r="R52" i="13"/>
  <c r="P72" i="13"/>
  <c r="Q72" i="13" s="1"/>
  <c r="R39" i="13"/>
  <c r="R58" i="13"/>
  <c r="O50" i="1"/>
  <c r="N16" i="2"/>
  <c r="O16" i="2" s="1"/>
  <c r="N36" i="2"/>
  <c r="O36" i="2" s="1"/>
  <c r="N35" i="2"/>
  <c r="N30" i="2"/>
  <c r="O30" i="2" s="1"/>
  <c r="N37" i="2"/>
  <c r="O37" i="2" s="1"/>
  <c r="O23" i="2"/>
  <c r="N21" i="2"/>
  <c r="O21" i="2" s="1"/>
  <c r="N28" i="2"/>
  <c r="O28" i="2" s="1"/>
  <c r="N26" i="2"/>
  <c r="O26" i="2" s="1"/>
  <c r="N29" i="2"/>
  <c r="O29" i="2" s="1"/>
  <c r="O48" i="2" l="1"/>
  <c r="O44" i="2" s="1"/>
  <c r="N44" i="2"/>
  <c r="D27" i="13"/>
  <c r="D46" i="13"/>
  <c r="R46" i="13" s="1"/>
  <c r="D66" i="13"/>
  <c r="R53" i="13"/>
  <c r="R34" i="13"/>
  <c r="S15" i="13"/>
  <c r="R16" i="13"/>
  <c r="P35" i="13"/>
  <c r="P73" i="13"/>
  <c r="Q34" i="13"/>
  <c r="Q35" i="13" s="1"/>
  <c r="Q53" i="13"/>
  <c r="O75" i="13"/>
  <c r="O79" i="13" s="1"/>
  <c r="O40" i="13"/>
  <c r="O41" i="13" s="1"/>
  <c r="O60" i="13" s="1"/>
  <c r="R17" i="13"/>
  <c r="P55" i="13"/>
  <c r="Q17" i="13"/>
  <c r="P21" i="13"/>
  <c r="P36" i="13"/>
  <c r="R77" i="13"/>
  <c r="T19" i="13"/>
  <c r="S38" i="13"/>
  <c r="S57" i="13"/>
  <c r="T4" i="13"/>
  <c r="S76" i="13"/>
  <c r="T37" i="13"/>
  <c r="T56" i="13"/>
  <c r="R27" i="13"/>
  <c r="R26" i="13"/>
  <c r="R72" i="13"/>
  <c r="S25" i="13"/>
  <c r="R78" i="13"/>
  <c r="S39" i="13"/>
  <c r="S58" i="13"/>
  <c r="S23" i="13"/>
  <c r="S33" i="13"/>
  <c r="S52" i="13"/>
  <c r="S24" i="13"/>
  <c r="O3" i="2"/>
  <c r="E3" i="2" s="1"/>
  <c r="C3" i="1" s="1"/>
  <c r="D4" i="13" s="1"/>
  <c r="O35" i="2"/>
  <c r="N34" i="2"/>
  <c r="N22" i="2"/>
  <c r="O22" i="2"/>
  <c r="E17" i="2" s="1"/>
  <c r="C5" i="1" s="1"/>
  <c r="D6" i="13" s="1"/>
  <c r="N3" i="2"/>
  <c r="D8" i="2"/>
  <c r="O34" i="2" l="1"/>
  <c r="E23" i="2" s="1"/>
  <c r="C6" i="1" s="1"/>
  <c r="D7" i="13" s="1"/>
  <c r="H46" i="13"/>
  <c r="H66" i="13" s="1"/>
  <c r="J46" i="13"/>
  <c r="J66" i="13" s="1"/>
  <c r="E46" i="13"/>
  <c r="E66" i="13" s="1"/>
  <c r="G46" i="13"/>
  <c r="G66" i="13" s="1"/>
  <c r="I46" i="13"/>
  <c r="I66" i="13" s="1"/>
  <c r="F46" i="13"/>
  <c r="F66" i="13" s="1"/>
  <c r="K46" i="13"/>
  <c r="K66" i="13" s="1"/>
  <c r="L46" i="13"/>
  <c r="L66" i="13" s="1"/>
  <c r="M46" i="13"/>
  <c r="M66" i="13" s="1"/>
  <c r="N46" i="13"/>
  <c r="N66" i="13" s="1"/>
  <c r="O46" i="13"/>
  <c r="O66" i="13" s="1"/>
  <c r="P46" i="13"/>
  <c r="S53" i="13"/>
  <c r="S34" i="13"/>
  <c r="S16" i="13"/>
  <c r="T15" i="13"/>
  <c r="R35" i="13"/>
  <c r="R73" i="13"/>
  <c r="Q73" i="13"/>
  <c r="Q21" i="13"/>
  <c r="P22" i="13"/>
  <c r="Q22" i="13" s="1"/>
  <c r="Q36" i="13"/>
  <c r="P40" i="13"/>
  <c r="Q40" i="13" s="1"/>
  <c r="P75" i="13"/>
  <c r="Q55" i="13"/>
  <c r="P59" i="13"/>
  <c r="Q59" i="13" s="1"/>
  <c r="S17" i="13"/>
  <c r="R55" i="13"/>
  <c r="R59" i="13" s="1"/>
  <c r="R36" i="13"/>
  <c r="R21" i="13"/>
  <c r="R22" i="13" s="1"/>
  <c r="S77" i="13"/>
  <c r="U19" i="13"/>
  <c r="T38" i="13"/>
  <c r="T57" i="13"/>
  <c r="U4" i="13"/>
  <c r="T76" i="13"/>
  <c r="U56" i="13"/>
  <c r="U37" i="13"/>
  <c r="S26" i="13"/>
  <c r="S27" i="13"/>
  <c r="S46" i="13"/>
  <c r="R66" i="13"/>
  <c r="T39" i="13"/>
  <c r="T58" i="13"/>
  <c r="T24" i="13"/>
  <c r="T23" i="13"/>
  <c r="T25" i="13"/>
  <c r="T52" i="13"/>
  <c r="T33" i="13"/>
  <c r="S78" i="13"/>
  <c r="S72" i="13"/>
  <c r="D3" i="1"/>
  <c r="F3" i="1"/>
  <c r="G3" i="1" s="1"/>
  <c r="D6" i="2"/>
  <c r="D7" i="2"/>
  <c r="F6" i="1" l="1"/>
  <c r="G6" i="1" s="1"/>
  <c r="D6" i="1"/>
  <c r="Q46" i="13"/>
  <c r="P66" i="13"/>
  <c r="Q66" i="13" s="1"/>
  <c r="D64" i="13"/>
  <c r="D44" i="13"/>
  <c r="T44" i="13" s="1"/>
  <c r="T64" i="13" s="1"/>
  <c r="D42" i="13"/>
  <c r="E42" i="13" s="1"/>
  <c r="E62" i="13" s="1"/>
  <c r="D62" i="13"/>
  <c r="P41" i="13"/>
  <c r="P60" i="13" s="1"/>
  <c r="T16" i="13"/>
  <c r="U15" i="13"/>
  <c r="T53" i="13"/>
  <c r="T34" i="13"/>
  <c r="S35" i="13"/>
  <c r="S73" i="13"/>
  <c r="D25" i="13"/>
  <c r="T17" i="13"/>
  <c r="S36" i="13"/>
  <c r="S21" i="13"/>
  <c r="S22" i="13" s="1"/>
  <c r="S55" i="13"/>
  <c r="S59" i="13" s="1"/>
  <c r="P79" i="13"/>
  <c r="Q79" i="13" s="1"/>
  <c r="Q75" i="13"/>
  <c r="R40" i="13"/>
  <c r="R41" i="13" s="1"/>
  <c r="R60" i="13" s="1"/>
  <c r="R75" i="13"/>
  <c r="R79" i="13" s="1"/>
  <c r="U76" i="13"/>
  <c r="T77" i="13"/>
  <c r="V4" i="13"/>
  <c r="V19" i="13"/>
  <c r="U57" i="13"/>
  <c r="U38" i="13"/>
  <c r="S66" i="13"/>
  <c r="V56" i="13"/>
  <c r="V37" i="13"/>
  <c r="T46" i="13"/>
  <c r="T27" i="13"/>
  <c r="T26" i="13"/>
  <c r="T72" i="13"/>
  <c r="U23" i="13"/>
  <c r="U52" i="13"/>
  <c r="U33" i="13"/>
  <c r="U24" i="13"/>
  <c r="U58" i="13"/>
  <c r="U39" i="13"/>
  <c r="T78" i="13"/>
  <c r="U25" i="13"/>
  <c r="D23" i="13"/>
  <c r="D5" i="1"/>
  <c r="Q41" i="13" l="1"/>
  <c r="Q60" i="13" s="1"/>
  <c r="D45" i="13"/>
  <c r="U45" i="13" s="1"/>
  <c r="D65" i="13"/>
  <c r="U44" i="13"/>
  <c r="U64" i="13" s="1"/>
  <c r="T73" i="13"/>
  <c r="T35" i="13"/>
  <c r="V15" i="13"/>
  <c r="U53" i="13"/>
  <c r="U16" i="13"/>
  <c r="U34" i="13"/>
  <c r="E44" i="13"/>
  <c r="E64" i="13" s="1"/>
  <c r="R44" i="13"/>
  <c r="R64" i="13" s="1"/>
  <c r="S44" i="13"/>
  <c r="S64" i="13" s="1"/>
  <c r="I44" i="13"/>
  <c r="I64" i="13" s="1"/>
  <c r="O44" i="13"/>
  <c r="O64" i="13" s="1"/>
  <c r="M44" i="13"/>
  <c r="M64" i="13" s="1"/>
  <c r="L44" i="13"/>
  <c r="L64" i="13" s="1"/>
  <c r="N44" i="13"/>
  <c r="N64" i="13" s="1"/>
  <c r="K44" i="13"/>
  <c r="K64" i="13" s="1"/>
  <c r="H44" i="13"/>
  <c r="H64" i="13" s="1"/>
  <c r="F44" i="13"/>
  <c r="F64" i="13" s="1"/>
  <c r="J44" i="13"/>
  <c r="J64" i="13" s="1"/>
  <c r="D26" i="13"/>
  <c r="P44" i="13"/>
  <c r="P64" i="13" s="1"/>
  <c r="G44" i="13"/>
  <c r="G64" i="13" s="1"/>
  <c r="S75" i="13"/>
  <c r="S79" i="13" s="1"/>
  <c r="S40" i="13"/>
  <c r="S41" i="13" s="1"/>
  <c r="S60" i="13" s="1"/>
  <c r="U17" i="13"/>
  <c r="T21" i="13"/>
  <c r="T22" i="13" s="1"/>
  <c r="T55" i="13"/>
  <c r="T59" i="13" s="1"/>
  <c r="T36" i="13"/>
  <c r="U77" i="13"/>
  <c r="T66" i="13"/>
  <c r="F42" i="13"/>
  <c r="G42" i="13"/>
  <c r="I42" i="13"/>
  <c r="H42" i="13"/>
  <c r="J42" i="13"/>
  <c r="K42" i="13"/>
  <c r="L42" i="13"/>
  <c r="M42" i="13"/>
  <c r="N42" i="13"/>
  <c r="O42" i="13"/>
  <c r="P42" i="13"/>
  <c r="R42" i="13"/>
  <c r="S42" i="13"/>
  <c r="T42" i="13"/>
  <c r="T62" i="13" s="1"/>
  <c r="U42" i="13"/>
  <c r="U62" i="13" s="1"/>
  <c r="W19" i="13"/>
  <c r="V57" i="13"/>
  <c r="V38" i="13"/>
  <c r="W4" i="13"/>
  <c r="V76" i="13"/>
  <c r="W37" i="13"/>
  <c r="W56" i="13"/>
  <c r="U26" i="13"/>
  <c r="U46" i="13"/>
  <c r="U27" i="13"/>
  <c r="V58" i="13"/>
  <c r="V39" i="13"/>
  <c r="V44" i="13"/>
  <c r="V25" i="13"/>
  <c r="V24" i="13"/>
  <c r="V42" i="13"/>
  <c r="V23" i="13"/>
  <c r="V52" i="13"/>
  <c r="V33" i="13"/>
  <c r="U78" i="13"/>
  <c r="U72" i="13"/>
  <c r="F5" i="1"/>
  <c r="G5" i="1" s="1"/>
  <c r="P62" i="13" l="1"/>
  <c r="H62" i="13"/>
  <c r="U73" i="13"/>
  <c r="U35" i="13"/>
  <c r="W15" i="13"/>
  <c r="V53" i="13"/>
  <c r="V16" i="13"/>
  <c r="V34" i="13"/>
  <c r="V64" i="13"/>
  <c r="V77" i="13"/>
  <c r="Q44" i="13"/>
  <c r="F45" i="13"/>
  <c r="F65" i="13" s="1"/>
  <c r="N45" i="13"/>
  <c r="N65" i="13" s="1"/>
  <c r="G45" i="13"/>
  <c r="G65" i="13" s="1"/>
  <c r="J45" i="13"/>
  <c r="J65" i="13" s="1"/>
  <c r="S45" i="13"/>
  <c r="S65" i="13" s="1"/>
  <c r="K45" i="13"/>
  <c r="K65" i="13" s="1"/>
  <c r="M45" i="13"/>
  <c r="M65" i="13" s="1"/>
  <c r="O45" i="13"/>
  <c r="O65" i="13" s="1"/>
  <c r="H45" i="13"/>
  <c r="H65" i="13" s="1"/>
  <c r="P45" i="13"/>
  <c r="P65" i="13" s="1"/>
  <c r="I45" i="13"/>
  <c r="I65" i="13" s="1"/>
  <c r="R45" i="13"/>
  <c r="R65" i="13" s="1"/>
  <c r="L45" i="13"/>
  <c r="L65" i="13" s="1"/>
  <c r="E45" i="13"/>
  <c r="T45" i="13"/>
  <c r="T65" i="13" s="1"/>
  <c r="Q64" i="13"/>
  <c r="T40" i="13"/>
  <c r="T41" i="13" s="1"/>
  <c r="T60" i="13" s="1"/>
  <c r="T75" i="13"/>
  <c r="T79" i="13" s="1"/>
  <c r="V17" i="13"/>
  <c r="U55" i="13"/>
  <c r="U59" i="13" s="1"/>
  <c r="U21" i="13"/>
  <c r="U22" i="13" s="1"/>
  <c r="U36" i="13"/>
  <c r="V78" i="13"/>
  <c r="Q42" i="13"/>
  <c r="O62" i="13"/>
  <c r="G62" i="13"/>
  <c r="N62" i="13"/>
  <c r="L62" i="13"/>
  <c r="J62" i="13"/>
  <c r="M62" i="13"/>
  <c r="F62" i="13"/>
  <c r="K62" i="13"/>
  <c r="S62" i="13"/>
  <c r="R62" i="13"/>
  <c r="I62" i="13"/>
  <c r="U66" i="13"/>
  <c r="W38" i="13"/>
  <c r="W57" i="13"/>
  <c r="W76" i="13"/>
  <c r="V46" i="13"/>
  <c r="V27" i="13"/>
  <c r="U65" i="13"/>
  <c r="V26" i="13"/>
  <c r="V45" i="13"/>
  <c r="V62" i="13"/>
  <c r="W24" i="13"/>
  <c r="W25" i="13"/>
  <c r="W44" i="13"/>
  <c r="W23" i="13"/>
  <c r="W42" i="13"/>
  <c r="W33" i="13"/>
  <c r="W52" i="13"/>
  <c r="W58" i="13"/>
  <c r="W39" i="13"/>
  <c r="V72" i="13"/>
  <c r="E12" i="2"/>
  <c r="E10" i="2" l="1"/>
  <c r="C4" i="1" s="1"/>
  <c r="D5" i="13" s="1"/>
  <c r="Q45" i="13"/>
  <c r="V35" i="13"/>
  <c r="V73" i="13"/>
  <c r="W16" i="13"/>
  <c r="W34" i="13"/>
  <c r="W53" i="13"/>
  <c r="E65" i="13"/>
  <c r="Q65" i="13" s="1"/>
  <c r="U75" i="13"/>
  <c r="U79" i="13" s="1"/>
  <c r="U40" i="13"/>
  <c r="U41" i="13" s="1"/>
  <c r="U60" i="13" s="1"/>
  <c r="W17" i="13"/>
  <c r="V55" i="13"/>
  <c r="V59" i="13" s="1"/>
  <c r="V21" i="13"/>
  <c r="V22" i="13" s="1"/>
  <c r="V36" i="13"/>
  <c r="W78" i="13"/>
  <c r="Q62" i="13"/>
  <c r="W77" i="13"/>
  <c r="W46" i="13"/>
  <c r="W27" i="13"/>
  <c r="W45" i="13"/>
  <c r="W26" i="13"/>
  <c r="V66" i="13"/>
  <c r="V65" i="13"/>
  <c r="W72" i="13"/>
  <c r="W64" i="13"/>
  <c r="W62" i="13"/>
  <c r="D12" i="2"/>
  <c r="M8" i="1" s="1"/>
  <c r="J9" i="2" l="1"/>
  <c r="K9" i="2" s="1"/>
  <c r="J11" i="2"/>
  <c r="M6" i="1" s="1"/>
  <c r="D43" i="13"/>
  <c r="D63" i="13"/>
  <c r="M10" i="1"/>
  <c r="W35" i="13"/>
  <c r="W73" i="13"/>
  <c r="V75" i="13"/>
  <c r="V79" i="13" s="1"/>
  <c r="V40" i="13"/>
  <c r="V41" i="13" s="1"/>
  <c r="V60" i="13" s="1"/>
  <c r="W21" i="13"/>
  <c r="W22" i="13" s="1"/>
  <c r="W36" i="13"/>
  <c r="W55" i="13"/>
  <c r="W59" i="13" s="1"/>
  <c r="W65" i="13"/>
  <c r="W66" i="13"/>
  <c r="D4" i="1"/>
  <c r="M9" i="1"/>
  <c r="M11" i="1"/>
  <c r="N11" i="1" s="1"/>
  <c r="M7" i="1"/>
  <c r="M3" i="1"/>
  <c r="M13" i="1"/>
  <c r="M12" i="1"/>
  <c r="N12" i="1" s="1"/>
  <c r="M14" i="1"/>
  <c r="M4" i="1"/>
  <c r="M15" i="1"/>
  <c r="F4" i="1"/>
  <c r="G4" i="1" s="1"/>
  <c r="M28" i="1" l="1"/>
  <c r="N28" i="1" s="1"/>
  <c r="M9" i="2"/>
  <c r="L9" i="2"/>
  <c r="K11" i="2"/>
  <c r="L11" i="2"/>
  <c r="M11" i="2"/>
  <c r="J6" i="2"/>
  <c r="J5" i="2"/>
  <c r="J7" i="2"/>
  <c r="J8" i="2"/>
  <c r="J10" i="2"/>
  <c r="J4" i="2"/>
  <c r="M29" i="1"/>
  <c r="J12" i="2"/>
  <c r="J52" i="2"/>
  <c r="J50" i="2"/>
  <c r="J49" i="2"/>
  <c r="J48" i="2"/>
  <c r="J47" i="2"/>
  <c r="J46" i="2"/>
  <c r="J45" i="2"/>
  <c r="J51" i="2"/>
  <c r="W40" i="13"/>
  <c r="W41" i="13" s="1"/>
  <c r="W60" i="13" s="1"/>
  <c r="W75" i="13"/>
  <c r="W79" i="13" s="1"/>
  <c r="D24" i="13"/>
  <c r="J14" i="2"/>
  <c r="N14" i="1"/>
  <c r="N13" i="1"/>
  <c r="N7" i="1"/>
  <c r="N15" i="1"/>
  <c r="N4" i="1"/>
  <c r="J24" i="2"/>
  <c r="N6" i="1"/>
  <c r="N3" i="1"/>
  <c r="J43" i="2"/>
  <c r="J39" i="2"/>
  <c r="J40" i="2"/>
  <c r="J38" i="2"/>
  <c r="J37" i="2"/>
  <c r="N10" i="1"/>
  <c r="J36" i="2"/>
  <c r="J35" i="2"/>
  <c r="J42" i="2"/>
  <c r="J41" i="2"/>
  <c r="J27" i="2"/>
  <c r="J31" i="2"/>
  <c r="J17" i="2"/>
  <c r="M18" i="1"/>
  <c r="N18" i="1" s="1"/>
  <c r="J19" i="2"/>
  <c r="J18" i="2"/>
  <c r="J15" i="2"/>
  <c r="J21" i="2"/>
  <c r="M21" i="1"/>
  <c r="M5" i="1"/>
  <c r="J16" i="2"/>
  <c r="J13" i="2"/>
  <c r="N8" i="1"/>
  <c r="J20" i="2"/>
  <c r="J28" i="2"/>
  <c r="M28" i="2" s="1"/>
  <c r="J32" i="2"/>
  <c r="J26" i="2"/>
  <c r="M26" i="2" s="1"/>
  <c r="J25" i="2"/>
  <c r="N9" i="1"/>
  <c r="J29" i="2"/>
  <c r="M29" i="2" s="1"/>
  <c r="J30" i="2"/>
  <c r="M30" i="2" s="1"/>
  <c r="J23" i="2"/>
  <c r="M38" i="1" l="1"/>
  <c r="N38" i="1" s="1"/>
  <c r="M47" i="1"/>
  <c r="N47" i="1" s="1"/>
  <c r="M27" i="1"/>
  <c r="N27" i="1" s="1"/>
  <c r="M42" i="1"/>
  <c r="N42" i="1" s="1"/>
  <c r="M46" i="1"/>
  <c r="N46" i="1" s="1"/>
  <c r="K32" i="2"/>
  <c r="M45" i="1"/>
  <c r="N45" i="1" s="1"/>
  <c r="M23" i="1"/>
  <c r="N23" i="1" s="1"/>
  <c r="K15" i="2"/>
  <c r="M49" i="1"/>
  <c r="N49" i="1" s="1"/>
  <c r="M26" i="1"/>
  <c r="N26" i="1" s="1"/>
  <c r="M37" i="1"/>
  <c r="N37" i="1" s="1"/>
  <c r="M35" i="1"/>
  <c r="N35" i="1" s="1"/>
  <c r="M19" i="2"/>
  <c r="L13" i="2"/>
  <c r="M24" i="1"/>
  <c r="N24" i="1" s="1"/>
  <c r="M44" i="1"/>
  <c r="N44" i="1" s="1"/>
  <c r="L12" i="2"/>
  <c r="M48" i="1"/>
  <c r="N48" i="1" s="1"/>
  <c r="M16" i="2"/>
  <c r="M34" i="1"/>
  <c r="N34" i="1" s="1"/>
  <c r="M25" i="1"/>
  <c r="N25" i="1" s="1"/>
  <c r="M22" i="1"/>
  <c r="N22" i="1" s="1"/>
  <c r="K10" i="2"/>
  <c r="M10" i="2"/>
  <c r="L10" i="2"/>
  <c r="M8" i="2"/>
  <c r="L8" i="2"/>
  <c r="K8" i="2"/>
  <c r="L7" i="2"/>
  <c r="K7" i="2"/>
  <c r="M7" i="2"/>
  <c r="K12" i="2"/>
  <c r="M5" i="2"/>
  <c r="L5" i="2"/>
  <c r="K5" i="2"/>
  <c r="M4" i="2"/>
  <c r="L4" i="2"/>
  <c r="K4" i="2"/>
  <c r="K6" i="2"/>
  <c r="M6" i="2"/>
  <c r="L6" i="2"/>
  <c r="M16" i="1"/>
  <c r="N16" i="1" s="1"/>
  <c r="M17" i="1"/>
  <c r="N17" i="1" s="1"/>
  <c r="M30" i="1"/>
  <c r="N30" i="1" s="1"/>
  <c r="M32" i="1"/>
  <c r="N32" i="1" s="1"/>
  <c r="M45" i="2"/>
  <c r="L45" i="2"/>
  <c r="K45" i="2"/>
  <c r="M46" i="2"/>
  <c r="L46" i="2"/>
  <c r="K46" i="2"/>
  <c r="M47" i="2"/>
  <c r="L47" i="2"/>
  <c r="K47" i="2"/>
  <c r="K48" i="2"/>
  <c r="M48" i="2"/>
  <c r="L48" i="2"/>
  <c r="M49" i="2"/>
  <c r="L49" i="2"/>
  <c r="K49" i="2"/>
  <c r="L50" i="2"/>
  <c r="K50" i="2"/>
  <c r="M50" i="2"/>
  <c r="K52" i="2"/>
  <c r="M52" i="2"/>
  <c r="L52" i="2"/>
  <c r="K51" i="2"/>
  <c r="M51" i="2"/>
  <c r="L51" i="2"/>
  <c r="E43" i="13"/>
  <c r="E54" i="13" s="1"/>
  <c r="E61" i="13" s="1"/>
  <c r="E80" i="13" s="1"/>
  <c r="F43" i="13"/>
  <c r="F54" i="13" s="1"/>
  <c r="G43" i="13"/>
  <c r="G54" i="13" s="1"/>
  <c r="H43" i="13"/>
  <c r="H54" i="13" s="1"/>
  <c r="I43" i="13"/>
  <c r="I54" i="13" s="1"/>
  <c r="J43" i="13"/>
  <c r="J54" i="13" s="1"/>
  <c r="K43" i="13"/>
  <c r="K54" i="13" s="1"/>
  <c r="L43" i="13"/>
  <c r="L54" i="13" s="1"/>
  <c r="M43" i="13"/>
  <c r="M54" i="13" s="1"/>
  <c r="N43" i="13"/>
  <c r="N54" i="13" s="1"/>
  <c r="O43" i="13"/>
  <c r="O54" i="13" s="1"/>
  <c r="P43" i="13"/>
  <c r="P54" i="13" s="1"/>
  <c r="R43" i="13"/>
  <c r="R54" i="13" s="1"/>
  <c r="S43" i="13"/>
  <c r="S54" i="13" s="1"/>
  <c r="T43" i="13"/>
  <c r="T54" i="13" s="1"/>
  <c r="U43" i="13"/>
  <c r="U54" i="13" s="1"/>
  <c r="V43" i="13"/>
  <c r="V54" i="13" s="1"/>
  <c r="W43" i="13"/>
  <c r="W54" i="13" s="1"/>
  <c r="K14" i="2"/>
  <c r="L14" i="2"/>
  <c r="M14" i="2"/>
  <c r="N5" i="1"/>
  <c r="N21" i="1"/>
  <c r="N29" i="1"/>
  <c r="M27" i="2"/>
  <c r="M35" i="2"/>
  <c r="K35" i="2"/>
  <c r="L35" i="2"/>
  <c r="L36" i="2"/>
  <c r="M36" i="2"/>
  <c r="K36" i="2"/>
  <c r="K37" i="2"/>
  <c r="L37" i="2"/>
  <c r="M37" i="2"/>
  <c r="M38" i="2"/>
  <c r="K38" i="2"/>
  <c r="L38" i="2"/>
  <c r="L40" i="2"/>
  <c r="M40" i="2"/>
  <c r="K40" i="2"/>
  <c r="L41" i="2"/>
  <c r="K41" i="2"/>
  <c r="M41" i="2"/>
  <c r="M39" i="2"/>
  <c r="K39" i="2"/>
  <c r="L39" i="2"/>
  <c r="K42" i="2"/>
  <c r="L42" i="2"/>
  <c r="M42" i="2"/>
  <c r="K43" i="2"/>
  <c r="L43" i="2"/>
  <c r="M43" i="2"/>
  <c r="K17" i="2"/>
  <c r="M19" i="1"/>
  <c r="N19" i="1" s="1"/>
  <c r="M17" i="2"/>
  <c r="M15" i="2"/>
  <c r="L15" i="2"/>
  <c r="L20" i="2"/>
  <c r="K20" i="2"/>
  <c r="L17" i="2"/>
  <c r="M20" i="2"/>
  <c r="K18" i="2"/>
  <c r="M18" i="2"/>
  <c r="M21" i="2"/>
  <c r="L18" i="2"/>
  <c r="M20" i="1"/>
  <c r="N20" i="1" s="1"/>
  <c r="K19" i="2"/>
  <c r="L21" i="2"/>
  <c r="K21" i="2"/>
  <c r="L16" i="2"/>
  <c r="K13" i="2"/>
  <c r="L19" i="2"/>
  <c r="K16" i="2"/>
  <c r="M33" i="1"/>
  <c r="N33" i="1" s="1"/>
  <c r="M36" i="1"/>
  <c r="N36" i="1" s="1"/>
  <c r="M31" i="1"/>
  <c r="N31" i="1" s="1"/>
  <c r="M13" i="2"/>
  <c r="M24" i="2"/>
  <c r="M41" i="1"/>
  <c r="N41" i="1" s="1"/>
  <c r="M31" i="2"/>
  <c r="M39" i="1"/>
  <c r="M23" i="2"/>
  <c r="M40" i="1"/>
  <c r="M25" i="2"/>
  <c r="M43" i="1"/>
  <c r="N43" i="1" s="1"/>
  <c r="K25" i="2"/>
  <c r="L25" i="2"/>
  <c r="L24" i="2"/>
  <c r="K24" i="2"/>
  <c r="K26" i="2"/>
  <c r="L26" i="2"/>
  <c r="K31" i="2"/>
  <c r="L31" i="2"/>
  <c r="L32" i="2"/>
  <c r="L23" i="2"/>
  <c r="K23" i="2"/>
  <c r="L28" i="2"/>
  <c r="K28" i="2"/>
  <c r="K30" i="2"/>
  <c r="L30" i="2"/>
  <c r="L27" i="2"/>
  <c r="K27" i="2"/>
  <c r="K29" i="2"/>
  <c r="L29" i="2"/>
  <c r="B18" i="15" l="1"/>
  <c r="Q43" i="13"/>
  <c r="Q54" i="13" s="1"/>
  <c r="S63" i="13"/>
  <c r="S74" i="13" s="1"/>
  <c r="U63" i="13"/>
  <c r="U74" i="13" s="1"/>
  <c r="L63" i="13"/>
  <c r="L74" i="13" s="1"/>
  <c r="T63" i="13"/>
  <c r="T74" i="13" s="1"/>
  <c r="K63" i="13"/>
  <c r="K74" i="13" s="1"/>
  <c r="J63" i="13"/>
  <c r="J74" i="13" s="1"/>
  <c r="R63" i="13"/>
  <c r="R74" i="13" s="1"/>
  <c r="O63" i="13"/>
  <c r="O74" i="13" s="1"/>
  <c r="G63" i="13"/>
  <c r="G74" i="13" s="1"/>
  <c r="I63" i="13"/>
  <c r="I74" i="13" s="1"/>
  <c r="P63" i="13"/>
  <c r="P74" i="13" s="1"/>
  <c r="H63" i="13"/>
  <c r="H74" i="13" s="1"/>
  <c r="W63" i="13"/>
  <c r="W74" i="13" s="1"/>
  <c r="N63" i="13"/>
  <c r="N74" i="13" s="1"/>
  <c r="F63" i="13"/>
  <c r="F74" i="13" s="1"/>
  <c r="V63" i="13"/>
  <c r="V74" i="13" s="1"/>
  <c r="M63" i="13"/>
  <c r="M74" i="13" s="1"/>
  <c r="E63" i="13"/>
  <c r="E74" i="13" s="1"/>
  <c r="N40" i="1"/>
  <c r="N39" i="1"/>
  <c r="B22" i="15" l="1"/>
  <c r="B8" i="12"/>
  <c r="B20" i="12" s="1"/>
  <c r="P61" i="13"/>
  <c r="P80" i="13" s="1"/>
  <c r="L61" i="13"/>
  <c r="L80" i="13" s="1"/>
  <c r="I61" i="13"/>
  <c r="G61" i="13"/>
  <c r="F61" i="13"/>
  <c r="J61" i="13"/>
  <c r="M61" i="13"/>
  <c r="M80" i="13" s="1"/>
  <c r="S61" i="13"/>
  <c r="S80" i="13" s="1"/>
  <c r="R61" i="13"/>
  <c r="R80" i="13" s="1"/>
  <c r="N61" i="13"/>
  <c r="N80" i="13" s="1"/>
  <c r="U61" i="13"/>
  <c r="U80" i="13" s="1"/>
  <c r="K61" i="13"/>
  <c r="K80" i="13" s="1"/>
  <c r="W61" i="13"/>
  <c r="W80" i="13" s="1"/>
  <c r="V61" i="13"/>
  <c r="V80" i="13" s="1"/>
  <c r="H61" i="13"/>
  <c r="O61" i="13"/>
  <c r="O80" i="13" s="1"/>
  <c r="T61" i="13"/>
  <c r="T80" i="13" s="1"/>
  <c r="Q63" i="13"/>
  <c r="Q74" i="13" s="1"/>
  <c r="Q61" i="13"/>
  <c r="Q80" i="13" s="1"/>
  <c r="N50" i="1"/>
  <c r="F80" i="13" l="1"/>
  <c r="C18" i="15"/>
  <c r="J80" i="13"/>
  <c r="G18" i="15"/>
  <c r="G80" i="13"/>
  <c r="D18" i="15"/>
  <c r="I80" i="13"/>
  <c r="F18" i="15"/>
  <c r="H80" i="13"/>
  <c r="E18" i="15"/>
  <c r="B32" i="15"/>
  <c r="B4" i="12"/>
  <c r="B6" i="12" s="1"/>
  <c r="B23" i="12" s="1"/>
  <c r="F4" i="12"/>
  <c r="F6" i="12" s="1"/>
  <c r="G8" i="12" l="1"/>
  <c r="G20" i="12" s="1"/>
  <c r="G23" i="12" s="1"/>
  <c r="G24" i="12" s="1"/>
  <c r="G26" i="12" s="1"/>
  <c r="G22" i="15"/>
  <c r="G32" i="15" s="1"/>
  <c r="F8" i="12"/>
  <c r="F20" i="12" s="1"/>
  <c r="F23" i="12" s="1"/>
  <c r="F22" i="15"/>
  <c r="F32" i="15" s="1"/>
  <c r="D8" i="12"/>
  <c r="D20" i="12" s="1"/>
  <c r="D23" i="12" s="1"/>
  <c r="D24" i="12" s="1"/>
  <c r="D26" i="12" s="1"/>
  <c r="D22" i="15"/>
  <c r="D32" i="15" s="1"/>
  <c r="E8" i="12"/>
  <c r="E20" i="12" s="1"/>
  <c r="E23" i="12" s="1"/>
  <c r="E24" i="12" s="1"/>
  <c r="E26" i="12" s="1"/>
  <c r="E22" i="15"/>
  <c r="E32" i="15" s="1"/>
  <c r="C8" i="12"/>
  <c r="C20" i="12" s="1"/>
  <c r="C23" i="12" s="1"/>
  <c r="C24" i="12" s="1"/>
  <c r="C26" i="12" s="1"/>
  <c r="C22" i="15"/>
  <c r="C32" i="15" s="1"/>
  <c r="B24" i="12"/>
  <c r="B26" i="12" s="1"/>
  <c r="B34" i="15"/>
  <c r="B36" i="15" s="1"/>
  <c r="D15" i="15"/>
  <c r="C15" i="15"/>
  <c r="E15" i="15"/>
  <c r="G15" i="15"/>
  <c r="F15" i="15"/>
  <c r="G34" i="15" l="1"/>
  <c r="E34" i="15"/>
  <c r="D34" i="15"/>
  <c r="F34" i="15"/>
  <c r="C34" i="15"/>
  <c r="C36" i="15" s="1"/>
  <c r="F24" i="12"/>
  <c r="F26" i="12" s="1"/>
  <c r="F1" i="12" s="1"/>
  <c r="B5" i="14"/>
  <c r="B8" i="14" s="1"/>
  <c r="B14" i="14" s="1"/>
  <c r="C5" i="14" l="1"/>
  <c r="C8" i="14" s="1"/>
  <c r="C14" i="14" s="1"/>
  <c r="D36" i="15"/>
  <c r="D5" i="14" l="1"/>
  <c r="D8" i="14" s="1"/>
  <c r="D14" i="14" s="1"/>
  <c r="E36" i="15"/>
  <c r="F36" i="15" l="1"/>
  <c r="E5" i="14"/>
  <c r="E8" i="14" s="1"/>
  <c r="E14" i="14" s="1"/>
  <c r="G36" i="15" l="1"/>
  <c r="G5" i="14" s="1"/>
  <c r="G8" i="14" s="1"/>
  <c r="G14" i="14" s="1"/>
  <c r="F5" i="14"/>
  <c r="F8" i="14" s="1"/>
  <c r="F1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9" authorId="0" shapeId="0" xr:uid="{324033EF-585D-6745-BB0E-877967B9BAA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Assumed $.03 for ever $ of taquitos sold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0" authorId="0" shapeId="0" xr:uid="{5261044A-2518-4845-9CF5-1E16CF8D39E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Assumptions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 items per transaction
</t>
        </r>
        <r>
          <rPr>
            <sz val="10"/>
            <color rgb="FF000000"/>
            <rFont val="Tahoma"/>
            <family val="2"/>
          </rPr>
          <t xml:space="preserve">Only POS transaction fee and percentage used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POS transaction fee  $ 0.10 
</t>
        </r>
        <r>
          <rPr>
            <sz val="10"/>
            <color rgb="FF000000"/>
            <rFont val="Calibri"/>
            <family val="2"/>
          </rPr>
          <t xml:space="preserve">POS transaction fee 2.6% 
</t>
        </r>
        <r>
          <rPr>
            <sz val="10"/>
            <color rgb="FF000000"/>
            <rFont val="Calibri"/>
            <family val="2"/>
          </rPr>
          <t xml:space="preserve">Online transaction fee  $ 0.30 
</t>
        </r>
        <r>
          <rPr>
            <sz val="10"/>
            <color rgb="FF000000"/>
            <rFont val="Calibri"/>
            <family val="2"/>
          </rPr>
          <t xml:space="preserve">Online transaction fee 2.9%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R2" authorId="0" shapeId="0" xr:uid="{B6022C83-582D-054D-87BD-C5C7E4DE2C9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This is the product is unopen</t>
        </r>
      </text>
    </comment>
    <comment ref="E14" authorId="0" shapeId="0" xr:uid="{F1A4D35B-38A0-8C4F-8BE0-B64CDC06C93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$.02 for container and $.08 for 1oz sauce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2" authorId="0" shapeId="0" xr:uid="{3F7BF679-F4D2-EA43-9BCE-48A23235D12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 OZ (weight)</t>
        </r>
      </text>
    </comment>
  </commentList>
</comments>
</file>

<file path=xl/sharedStrings.xml><?xml version="1.0" encoding="utf-8"?>
<sst xmlns="http://schemas.openxmlformats.org/spreadsheetml/2006/main" count="1023" uniqueCount="432">
  <si>
    <t>Tortilla</t>
  </si>
  <si>
    <t>For one</t>
  </si>
  <si>
    <t>Egg</t>
  </si>
  <si>
    <t>Needed</t>
  </si>
  <si>
    <t>Menu Item</t>
  </si>
  <si>
    <t>Quantity</t>
  </si>
  <si>
    <t>Ingredients</t>
  </si>
  <si>
    <t>Buffalo Chicken</t>
  </si>
  <si>
    <t>Cream Cheese</t>
  </si>
  <si>
    <t>Cilantro</t>
  </si>
  <si>
    <t>Pineapple</t>
  </si>
  <si>
    <t>Latex Gloves</t>
  </si>
  <si>
    <t>Transaction Fees</t>
  </si>
  <si>
    <t>Price Per Unit</t>
  </si>
  <si>
    <t>Liquid Smoke</t>
  </si>
  <si>
    <t>Orange Juice</t>
  </si>
  <si>
    <t>Olive Oil</t>
  </si>
  <si>
    <t>Lime juice</t>
  </si>
  <si>
    <t>Bay Leaves</t>
  </si>
  <si>
    <t>Jalapeno</t>
  </si>
  <si>
    <t>Tomato Paste</t>
  </si>
  <si>
    <t>Soy Sauce</t>
  </si>
  <si>
    <t>Cumin</t>
  </si>
  <si>
    <t>Oregano</t>
  </si>
  <si>
    <t>Salt</t>
  </si>
  <si>
    <t>Chili Powder</t>
  </si>
  <si>
    <t>Garlic Powder</t>
  </si>
  <si>
    <t>Onion Powder</t>
  </si>
  <si>
    <t>Pepper</t>
  </si>
  <si>
    <t>For One Pound</t>
  </si>
  <si>
    <t>Unit of measure</t>
  </si>
  <si>
    <t>ea</t>
  </si>
  <si>
    <t>Mexican Blend Cheese</t>
  </si>
  <si>
    <t>Pulled Pork</t>
  </si>
  <si>
    <t>fl oz</t>
  </si>
  <si>
    <t>lbs</t>
  </si>
  <si>
    <t>Divide into weekly and monthly buys</t>
  </si>
  <si>
    <t>Create calculator to enter in what we currently have and deduct from that</t>
  </si>
  <si>
    <t>Teaspoon (oz)</t>
  </si>
  <si>
    <t>Tablespoon (oz)</t>
  </si>
  <si>
    <t>BBQ Sauce</t>
  </si>
  <si>
    <t>Buffalo Sauce</t>
  </si>
  <si>
    <t>Grilled Chicken</t>
  </si>
  <si>
    <t>Price</t>
  </si>
  <si>
    <t>Bulk Price</t>
  </si>
  <si>
    <t>Bulk Quantity</t>
  </si>
  <si>
    <t>Buttermilk Powder</t>
  </si>
  <si>
    <t>Parsley</t>
  </si>
  <si>
    <t>Dill</t>
  </si>
  <si>
    <t>Onion flakes</t>
  </si>
  <si>
    <t>Chives</t>
  </si>
  <si>
    <t>Chicken Ranch Rub</t>
  </si>
  <si>
    <t>Pork Carnitas Rub</t>
  </si>
  <si>
    <t>***Have to Add chicken Broth if slow cooking</t>
  </si>
  <si>
    <t>Total Order Cost</t>
  </si>
  <si>
    <t>Profit Per Taquito</t>
  </si>
  <si>
    <t>Total Cost</t>
  </si>
  <si>
    <t>Cost Per Taquito</t>
  </si>
  <si>
    <t>Comments</t>
  </si>
  <si>
    <t>https://www.webstaurantstore.com/5-lb-bag-fancy-shred-cheddar-and-monterey-jack-cheese-blend-case/875774353C.html</t>
  </si>
  <si>
    <t>Links</t>
  </si>
  <si>
    <t>from Walmart not true bulk</t>
  </si>
  <si>
    <t>https://www.walmart.com/ip/Red-Onions-2-lb-Bag/38127803</t>
  </si>
  <si>
    <t>https://www.webstaurantstore.com/father-sams-bakery-12-count-8-flour-tortilla-wraps-case/876559915.html</t>
  </si>
  <si>
    <t>8" flour tortilla</t>
  </si>
  <si>
    <t>https://www.pork.org/facts/stats/consumption-and-expenditures/wholesale-usda-prices-for-pork-sub-primals/</t>
  </si>
  <si>
    <t>https://www.walmart.com/grocery/ip/Cilantro-bunch/17018060</t>
  </si>
  <si>
    <t>https://www.webstaurantstore.com/smithfield-cream-cheese-30-lb-case/875776001.html</t>
  </si>
  <si>
    <t>look into canned pineapple</t>
  </si>
  <si>
    <t>UoM</t>
  </si>
  <si>
    <t>https://www.roundeyesupply.com/Clement-Pappas-Orange-Juice-Can-46-Oz-p/de388423.htm</t>
  </si>
  <si>
    <t>canned OJ probably worth it so we don't need to store it in a refrigerator. Don't see it affecting the product too much if we used canned compared to "fresh" bottled</t>
  </si>
  <si>
    <t>Shelf Life (Days)</t>
  </si>
  <si>
    <t>https://www.webstaurantstore.com/pure-olive-oil-1-gallon-tin/101OLIVEOIL.html</t>
  </si>
  <si>
    <t>https://www.webstaurantstore.com/realime-100-lime-juice-1-gallon-bottle-case/125JUCLIME.html</t>
  </si>
  <si>
    <t>https://www.webstaurantstore.com/figaro-1-gallon-hickory-liquid-smoke-and-marinade/125FSHICK1G.html?utm_source=google&amp;utm_medium=cpc&amp;utm_campaign=GoogleShopping&amp;gclid=CjwKCAiAouD_BRBIEiwALhJH6HF14oi1RomPvCh9i5GN-0JLo-iDBZD_JjZuQHJWHc2jX59hrR_RXRoCE08QAvD_BwE</t>
  </si>
  <si>
    <t>https://www.webstaurantstore.com/regal-bay-leaves-12-oz/10200014.html</t>
  </si>
  <si>
    <t>regular grocery store</t>
  </si>
  <si>
    <t>https://www.webstaurantstore.com/regal-foods-soy-sauce-1-gallon-bulk-container/99958331.html</t>
  </si>
  <si>
    <t>https://www.webstaurantstore.com/domino-2-lb-light-brown-sugar-case/104992119.html</t>
  </si>
  <si>
    <t>Dry Spice Conversions</t>
  </si>
  <si>
    <t>Spices</t>
  </si>
  <si>
    <t>Oz per Cup</t>
  </si>
  <si>
    <t>Tbl per Oz</t>
  </si>
  <si>
    <t>Tsp per Oz</t>
  </si>
  <si>
    <t>36/oz</t>
  </si>
  <si>
    <t>Paprika</t>
  </si>
  <si>
    <t>Oz per Fluid OZ</t>
  </si>
  <si>
    <t>https://www.chefs-resources.com/culinary-conversions-calculators-and-capacities/dry-spice-yields/</t>
  </si>
  <si>
    <t>https://www.webstaurantstore.com/sweet-baby-rays-1-gallon-buffalo-wing-sauce/999991110.html?utm_source=google&amp;utm_medium=cpc&amp;utm_campaign=GoogleShopping&amp;gclid=CjwKCAiAouD_BRBIEiwALhJH6EtwZrJx-BC8Zvh3dJPs4vMFfMP6R92Qu_7xvmA6uz4ESF3XR0TmmhoCfgQQAvD_BwE</t>
  </si>
  <si>
    <t>https://www.webstaurantstore.com/sweet-baby-rays-1-gallon-barbecue-sauce/999991112.html</t>
  </si>
  <si>
    <t>https://hoosierhillfarm.com/Hoosier-Hill-Bakers-Bags-Bulk-Sizes-Buttermilk-Powder-5-lbs.html</t>
  </si>
  <si>
    <t>https://www.webstaurantstore.com/regal-parsley-flakes-12-oz/10200106.html</t>
  </si>
  <si>
    <t>https://www.webstaurantstore.com/regal-fancy-oregano-leaves-1-lb/10200101.html</t>
  </si>
  <si>
    <t>https://www.webstaurantstore.com/regal-dill-weed-32-oz/102708074.html</t>
  </si>
  <si>
    <t>https://www.webstaurantstore.com/regal-chili-powder-5-lb/10200312.html</t>
  </si>
  <si>
    <t>https://www.webstaurantstore.com/regal-ground-cumin-4-lb/1020708239.html</t>
  </si>
  <si>
    <t>https://www.webstaurantstore.com/regal-fancy-paprika-5-lb/10200104.html</t>
  </si>
  <si>
    <t>https://www.webstaurantstore.com/regal-garlic-powder-5-lb/10200064.html</t>
  </si>
  <si>
    <t>https://www.webstaurantstore.com/regal-onion-powder-4-lb/102707864.html</t>
  </si>
  <si>
    <t>https://www.webstaurantstore.com/regal-fine-black-pepper-5-lb/10200504.html</t>
  </si>
  <si>
    <t>https://www.webstaurantstore.com/regal-chives-9-oz/10200030.html</t>
  </si>
  <si>
    <t>https://www.webstaurantstore.com/regal-minced-onion-4-lb/10200094.html</t>
  </si>
  <si>
    <t>https://www.webstaurantstore.com/regal-kosher-salt-7-lb/10200500.html</t>
  </si>
  <si>
    <t>Needed in Cups</t>
  </si>
  <si>
    <t>Needed in Tablespoons</t>
  </si>
  <si>
    <t>Unit of Purchase</t>
  </si>
  <si>
    <t>oz</t>
  </si>
  <si>
    <t>Sugar, Brown</t>
  </si>
  <si>
    <t>Classification</t>
  </si>
  <si>
    <t>Dairy</t>
  </si>
  <si>
    <t>Spice</t>
  </si>
  <si>
    <t>Produce</t>
  </si>
  <si>
    <t>Meat</t>
  </si>
  <si>
    <t>Sauce</t>
  </si>
  <si>
    <t>Juice</t>
  </si>
  <si>
    <t>Oil</t>
  </si>
  <si>
    <t>Grain</t>
  </si>
  <si>
    <t>Total Price</t>
  </si>
  <si>
    <t>Bulk Quantity (lbs)</t>
  </si>
  <si>
    <t>Bulk Quantity (oz)</t>
  </si>
  <si>
    <t>Bulk Quantity (fl oz)</t>
  </si>
  <si>
    <t>Total</t>
  </si>
  <si>
    <t>Price Per Unit of Measure</t>
  </si>
  <si>
    <t>Price Per Taquito</t>
  </si>
  <si>
    <t>Napkins</t>
  </si>
  <si>
    <t>Sauce containers</t>
  </si>
  <si>
    <t>Oven safe trays</t>
  </si>
  <si>
    <t>Monthly</t>
  </si>
  <si>
    <t>Car Fuel</t>
  </si>
  <si>
    <t>Miscellaneous</t>
  </si>
  <si>
    <t>Marketing</t>
  </si>
  <si>
    <t>Griddle</t>
  </si>
  <si>
    <t>Cooking utensils</t>
  </si>
  <si>
    <t>Vegetable chopper</t>
  </si>
  <si>
    <t>Tongs</t>
  </si>
  <si>
    <t>Spatulas</t>
  </si>
  <si>
    <t>Cutting boards</t>
  </si>
  <si>
    <t>Scales</t>
  </si>
  <si>
    <t>Freezer</t>
  </si>
  <si>
    <t>Tent</t>
  </si>
  <si>
    <t>Personal tshirts</t>
  </si>
  <si>
    <t>Personal hats</t>
  </si>
  <si>
    <t>Business cards</t>
  </si>
  <si>
    <t>Sign for tent</t>
  </si>
  <si>
    <t>Needed in oz (weight)</t>
  </si>
  <si>
    <t>Waste per Taquito</t>
  </si>
  <si>
    <t>salsa</t>
  </si>
  <si>
    <t>Onion, White</t>
  </si>
  <si>
    <t>Onion, Red</t>
  </si>
  <si>
    <t>https://www.samsclub.com/p/case-sale-80-20-angus-ground-chuck-fine-grind-bulk/prod17160008?xid=plp_product_1</t>
  </si>
  <si>
    <t>Sausage (ground pork)</t>
  </si>
  <si>
    <t>Breakfast Sausage Blend</t>
  </si>
  <si>
    <t>Thyme</t>
  </si>
  <si>
    <t>Rosemary</t>
  </si>
  <si>
    <t>Sage</t>
  </si>
  <si>
    <t>Marjoram</t>
  </si>
  <si>
    <t>Nutmeg</t>
  </si>
  <si>
    <t>Smokehouse Maple Seasoning</t>
  </si>
  <si>
    <t>webrestaurantstore</t>
  </si>
  <si>
    <t>bbq</t>
  </si>
  <si>
    <t>Dipping Sauces</t>
  </si>
  <si>
    <t>ranch</t>
  </si>
  <si>
    <t>ketchup</t>
  </si>
  <si>
    <t>special sauce 2</t>
  </si>
  <si>
    <t>Potential Sides</t>
  </si>
  <si>
    <t>churro balls</t>
  </si>
  <si>
    <t>chips and salsa/guac</t>
  </si>
  <si>
    <t>corn on the cob on a stick</t>
  </si>
  <si>
    <t>rice and beans</t>
  </si>
  <si>
    <t>mexican corn salad</t>
  </si>
  <si>
    <t>Veggie</t>
  </si>
  <si>
    <t>BBQ Chicken</t>
  </si>
  <si>
    <t>price per taquito when order is in bulk. Less transaction and packaging fees</t>
  </si>
  <si>
    <t>Quantity Needed</t>
  </si>
  <si>
    <t>Take pictures</t>
  </si>
  <si>
    <t>Document weights (cooked vs uncooked)</t>
  </si>
  <si>
    <t>Make large jars of rubs</t>
  </si>
  <si>
    <t>Mix in a bowl for easier application</t>
  </si>
  <si>
    <t>Thaw times</t>
  </si>
  <si>
    <t>Reheating process</t>
  </si>
  <si>
    <t>Toothpick taquitos to identify</t>
  </si>
  <si>
    <t>How to keep it warm</t>
  </si>
  <si>
    <t>Web restaurant store and ask tony about best meat</t>
  </si>
  <si>
    <t>bone in</t>
  </si>
  <si>
    <t>before</t>
  </si>
  <si>
    <t>after</t>
  </si>
  <si>
    <t>Carne asada</t>
  </si>
  <si>
    <t>Cup</t>
  </si>
  <si>
    <t>Weight Oz</t>
  </si>
  <si>
    <t>Volume cups</t>
  </si>
  <si>
    <t>Pork</t>
  </si>
  <si>
    <t>chicken</t>
  </si>
  <si>
    <t>sausage</t>
  </si>
  <si>
    <t>onion</t>
  </si>
  <si>
    <t>pineapple</t>
  </si>
  <si>
    <t>mexican Cheese</t>
  </si>
  <si>
    <t>eggs</t>
  </si>
  <si>
    <t>essential flour 8'</t>
  </si>
  <si>
    <t>La Banderita 6'</t>
  </si>
  <si>
    <t>Chi chi Flour and Corn "enchilada style 8'</t>
  </si>
  <si>
    <t>Chi chi  Corn "taco style" 6'</t>
  </si>
  <si>
    <t>not consistently round</t>
  </si>
  <si>
    <t>consistently round</t>
  </si>
  <si>
    <t>corn tortillas more consistent shape</t>
  </si>
  <si>
    <t>best to roll and roundest</t>
  </si>
  <si>
    <t>volume fl. oz</t>
  </si>
  <si>
    <t>8' tortilla</t>
  </si>
  <si>
    <t>pineapple cream sauce</t>
  </si>
  <si>
    <t>POS transaction fee</t>
  </si>
  <si>
    <t>POS transaction fee %</t>
  </si>
  <si>
    <t>Online transaction fee</t>
  </si>
  <si>
    <t>Online transaction fee %</t>
  </si>
  <si>
    <t>taquitos (frozen)</t>
  </si>
  <si>
    <t>oven 400. spray pan. 24 minutes flip over half way through</t>
  </si>
  <si>
    <t>https://www.educba.com/profit-margin-formula/</t>
  </si>
  <si>
    <t>Expenses</t>
  </si>
  <si>
    <t>Pepperoni and cheese</t>
  </si>
  <si>
    <t>Insurance</t>
  </si>
  <si>
    <t>Rent</t>
  </si>
  <si>
    <t>COGS</t>
  </si>
  <si>
    <t>Operating Expenses</t>
  </si>
  <si>
    <t>Depreciation</t>
  </si>
  <si>
    <t>Unit Sales</t>
  </si>
  <si>
    <t>Taquito Sales</t>
  </si>
  <si>
    <t>July</t>
  </si>
  <si>
    <t>August</t>
  </si>
  <si>
    <t>September</t>
  </si>
  <si>
    <t>Carnitas Rub</t>
  </si>
  <si>
    <t>T-shirt</t>
  </si>
  <si>
    <t>Hat</t>
  </si>
  <si>
    <t>Sticker</t>
  </si>
  <si>
    <t>cheese</t>
  </si>
  <si>
    <t>Inflows</t>
  </si>
  <si>
    <t>Outflows</t>
  </si>
  <si>
    <t>Merch Sales</t>
  </si>
  <si>
    <t>Tips</t>
  </si>
  <si>
    <t>Cost</t>
  </si>
  <si>
    <t>Cheese</t>
  </si>
  <si>
    <t>Chips and Salsa</t>
  </si>
  <si>
    <t>Product Subtotal</t>
  </si>
  <si>
    <t>Merch Subtotal</t>
  </si>
  <si>
    <t>Net Profit (before tax)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</si>
  <si>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</si>
  <si>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</si>
  <si>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</si>
  <si>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</si>
  <si>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</si>
  <si>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</si>
  <si>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</si>
  <si>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</si>
  <si>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</si>
  <si>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Unit Sales</t>
  </si>
  <si>
    <t>Gross Profit</t>
  </si>
  <si>
    <t>Total Gross Profit</t>
  </si>
  <si>
    <t>Total COGS</t>
  </si>
  <si>
    <t>Total Net Profit</t>
  </si>
  <si>
    <t>Year 1 Total</t>
  </si>
  <si>
    <t>Year 1</t>
  </si>
  <si>
    <t>Packaging</t>
  </si>
  <si>
    <t>Side of Sauce</t>
  </si>
  <si>
    <t>Propane</t>
  </si>
  <si>
    <t>Starting Cash Balance</t>
  </si>
  <si>
    <t>Logo</t>
  </si>
  <si>
    <t>Add into Cost</t>
  </si>
  <si>
    <t>Business</t>
  </si>
  <si>
    <t>Business License</t>
  </si>
  <si>
    <t>Health Inspection</t>
  </si>
  <si>
    <t>Coolers (4)</t>
  </si>
  <si>
    <t>Quickbooks</t>
  </si>
  <si>
    <t>Soda</t>
  </si>
  <si>
    <t>2lbs in tablespoons</t>
  </si>
  <si>
    <t>Knives/Cleavers</t>
  </si>
  <si>
    <t>Pots</t>
  </si>
  <si>
    <t>to go meat</t>
  </si>
  <si>
    <t>to go taco bags</t>
  </si>
  <si>
    <t>Freezer bags (should these be vacuum sealed? What do frozer taquitos come in?)</t>
  </si>
  <si>
    <t>Hand Sanitizer</t>
  </si>
  <si>
    <t>Single serving containers (plates or cartons) I want something that just goes on the end of the taquito</t>
  </si>
  <si>
    <t>Price in cost of taquito</t>
  </si>
  <si>
    <t>Total Outflows</t>
  </si>
  <si>
    <t>Taxes</t>
  </si>
  <si>
    <t>Whole Sale</t>
  </si>
  <si>
    <t>Sales Projections</t>
  </si>
  <si>
    <t>Register as Business</t>
  </si>
  <si>
    <t>Get Kitchen</t>
  </si>
  <si>
    <t>Website Published</t>
  </si>
  <si>
    <t>After Starting</t>
  </si>
  <si>
    <t>Online Selling</t>
  </si>
  <si>
    <t>Menu Expansion</t>
  </si>
  <si>
    <t>Quickbooks Class</t>
  </si>
  <si>
    <t>Menu Finalized</t>
  </si>
  <si>
    <t>Cooking Methods Finalized</t>
  </si>
  <si>
    <t>Line up Venues</t>
  </si>
  <si>
    <t>Purchase Equipment</t>
  </si>
  <si>
    <t>Social Media Pages Up</t>
  </si>
  <si>
    <t>Start Date</t>
  </si>
  <si>
    <t>Conversation with Mrs Walsh</t>
  </si>
  <si>
    <t>Quickbooks Registration</t>
  </si>
  <si>
    <t>Purchase Ingredients</t>
  </si>
  <si>
    <t>Philly</t>
  </si>
  <si>
    <t>Finish</t>
  </si>
  <si>
    <t>start</t>
  </si>
  <si>
    <t>Start</t>
  </si>
  <si>
    <t>Soft Finish</t>
  </si>
  <si>
    <t>Non perishable</t>
  </si>
  <si>
    <t>Perishable</t>
  </si>
  <si>
    <t>James</t>
  </si>
  <si>
    <t>Both</t>
  </si>
  <si>
    <t>Brendan</t>
  </si>
  <si>
    <t>Work Van/truck</t>
  </si>
  <si>
    <t>Open Business Bank Account</t>
  </si>
  <si>
    <t>Settle on "What we're Selling" (our theme)</t>
  </si>
  <si>
    <t>Assign/Describe Primary Roles</t>
  </si>
  <si>
    <t>Assumes 3% Growth per month.</t>
  </si>
  <si>
    <t>Customer Count (also should count days and hours open)</t>
  </si>
  <si>
    <t>Assets</t>
  </si>
  <si>
    <t>Current Assets</t>
  </si>
  <si>
    <t>Total Current Assets</t>
  </si>
  <si>
    <t>Long-term Assets</t>
  </si>
  <si>
    <t>Total Long-term Assets</t>
  </si>
  <si>
    <t>Total Assets</t>
  </si>
  <si>
    <t>Liabilities</t>
  </si>
  <si>
    <t>Current Liabilities</t>
  </si>
  <si>
    <t>Total Current Liabilities</t>
  </si>
  <si>
    <t>Long-term Liabilities</t>
  </si>
  <si>
    <t>Total Long-term Liabilities</t>
  </si>
  <si>
    <t>Total Liabilities</t>
  </si>
  <si>
    <t>Revenue</t>
  </si>
  <si>
    <t>Total Revenue</t>
  </si>
  <si>
    <t>Cost of Goods Sold</t>
  </si>
  <si>
    <t>Less: Discounts</t>
  </si>
  <si>
    <t>Month 1</t>
  </si>
  <si>
    <t>Month 2</t>
  </si>
  <si>
    <t>Month 3</t>
  </si>
  <si>
    <t>Month 4</t>
  </si>
  <si>
    <t>Month 5</t>
  </si>
  <si>
    <t>Month 6</t>
  </si>
  <si>
    <t>Total Operating Expenses</t>
  </si>
  <si>
    <t>Total Expenses</t>
  </si>
  <si>
    <t>Earnings before income taxes</t>
  </si>
  <si>
    <t>Income Tax</t>
  </si>
  <si>
    <t>Net Income</t>
  </si>
  <si>
    <t>Total Cash on hand</t>
  </si>
  <si>
    <t xml:space="preserve">To go bags </t>
  </si>
  <si>
    <t>Stickers for product</t>
  </si>
  <si>
    <t>Depreciating</t>
  </si>
  <si>
    <t>Fixed</t>
  </si>
  <si>
    <t>Variable</t>
  </si>
  <si>
    <t>Total Monthly Cash Flows</t>
  </si>
  <si>
    <t>Gas</t>
  </si>
  <si>
    <t>Start Up Expenses</t>
  </si>
  <si>
    <t>Total Variable</t>
  </si>
  <si>
    <t>Total Fixed</t>
  </si>
  <si>
    <t>Total Sales</t>
  </si>
  <si>
    <t>Cash</t>
  </si>
  <si>
    <t>Inventory</t>
  </si>
  <si>
    <t>Accounts Receivable</t>
  </si>
  <si>
    <t>Accumulated Depreciation</t>
  </si>
  <si>
    <t>Accounts Payable</t>
  </si>
  <si>
    <t>Accrued Expenses</t>
  </si>
  <si>
    <t>Unearned Revenue</t>
  </si>
  <si>
    <t>Capital Purchases</t>
  </si>
  <si>
    <t>Breakeven</t>
  </si>
  <si>
    <t>Startup Expenses</t>
  </si>
  <si>
    <t>halfway through month 4</t>
  </si>
  <si>
    <t>Social Media drafts/Marketing Campaign</t>
  </si>
  <si>
    <t>Tortilla Maker</t>
  </si>
  <si>
    <t>Cart to transport shit</t>
  </si>
  <si>
    <t>Website Domain</t>
  </si>
  <si>
    <t>Total Taquitos</t>
  </si>
  <si>
    <t>Accountant</t>
  </si>
  <si>
    <t>Meal containers</t>
  </si>
  <si>
    <t>Tables (2)</t>
  </si>
  <si>
    <t>Mixing Bowls</t>
  </si>
  <si>
    <t>Measuring tubs</t>
  </si>
  <si>
    <t>Plasticware</t>
  </si>
  <si>
    <t>Food Safe Storage Containers</t>
  </si>
  <si>
    <t>Monthly Supplies</t>
  </si>
  <si>
    <t>Category</t>
  </si>
  <si>
    <t>Item</t>
  </si>
  <si>
    <t>Supplier</t>
  </si>
  <si>
    <t>Home Depot</t>
  </si>
  <si>
    <t>The Restaurant Store</t>
  </si>
  <si>
    <t>Start up Supplies</t>
  </si>
  <si>
    <t>Oranges</t>
  </si>
  <si>
    <t>Startup Supplies</t>
  </si>
  <si>
    <t>https://www.papermart.com/p/divided-pet-microwavable-containers/137798</t>
  </si>
  <si>
    <t>https://www.papermart.com/p/twoin-blank-white-labels-round/148557</t>
  </si>
  <si>
    <t>https://www.homedepot.com/p/Snapware-Airtight-40-Cup-Plastic-Storage-Container-with-Blue-Handle-1098437/301679150</t>
  </si>
  <si>
    <t>https://www.target.com/p/snap-and-store-large-rectangle-food-storage-container-2ct-128oz-up-38-up-8482/-/A-14695654 - lnk=sametab</t>
  </si>
  <si>
    <t>https://www.customink.com/ink/company-t-shirts</t>
  </si>
  <si>
    <t>Custom Ink (in KOP mall)</t>
  </si>
  <si>
    <t>vista print</t>
  </si>
  <si>
    <t>https://www.stickermule.com/custom-labels</t>
  </si>
  <si>
    <t>verde</t>
  </si>
  <si>
    <t>chipotle sour cream</t>
  </si>
  <si>
    <t>https://www.webstaurantstore.com/carnival-king-3-1-2-x-1-1-2-x-9-plain-paper-hot-dog-bag-case/1503525.html</t>
  </si>
  <si>
    <t>https://www.webstaurantstore.com/carnival-king-3-1-2-x-1-1-2-x-9-unprinted-foil-hot-dog-bag-case/150456      1M.html</t>
  </si>
  <si>
    <t>Single serving containers</t>
  </si>
  <si>
    <t>https://www.gatorpaper.net/custom-printed-hot-dog-bags-2/</t>
  </si>
  <si>
    <t>https://www.rubberstamps.net/FixedSize.aspx?ProductID=WOODSTAMP32</t>
  </si>
  <si>
    <t>Carnitas Method 2</t>
  </si>
  <si>
    <t>Lard</t>
  </si>
  <si>
    <t>Orange</t>
  </si>
  <si>
    <t>Garlic Cloves</t>
  </si>
  <si>
    <t>Condensed Milk</t>
  </si>
  <si>
    <t>butter roller</t>
  </si>
  <si>
    <t>blackstone</t>
  </si>
  <si>
    <t>how many taquitos can we make in a 4 hour kitchen session</t>
  </si>
  <si>
    <t>What will be the cooking/rolling schedule </t>
  </si>
  <si>
    <t>How many will we sell per week</t>
  </si>
  <si>
    <t>What will our weekday venues be? Look up local places</t>
  </si>
  <si>
    <t>How many people can we expect on weekends. </t>
  </si>
  <si>
    <t>Refine list of ingredients and use real costs for sides and packaging. </t>
  </si>
  <si>
    <t>Project a max and low profit off of this. </t>
  </si>
  <si>
    <t>Wednesday, Thursday, Friday's</t>
  </si>
  <si>
    <t>8,8,4</t>
  </si>
  <si>
    <t>None to start</t>
  </si>
  <si>
    <t>This will determine how many we will sell</t>
  </si>
  <si>
    <t>Chipotle Peppers</t>
  </si>
  <si>
    <t>Order Buzzers</t>
  </si>
  <si>
    <t>Carnitas</t>
  </si>
  <si>
    <t>Chipotle Chicken</t>
  </si>
  <si>
    <t>TUCKEDito Original</t>
  </si>
  <si>
    <t>Egg Whites</t>
  </si>
  <si>
    <t>Chicken</t>
  </si>
  <si>
    <t>For One Pound Meat</t>
  </si>
  <si>
    <t>1 garlic clove is .14 oz</t>
  </si>
  <si>
    <t>Water</t>
  </si>
  <si>
    <t>Scallions</t>
  </si>
  <si>
    <t>Onion,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</si>
</sst>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.000_);_(&quot;$&quot;* \(#,##0.000\);_(&quot;$&quot;* &quot;-&quot;??_);_(@_)"/>
    <numFmt numFmtId="166" formatCode="0.0%"/>
    <numFmt numFmtId="167" formatCode="_(&quot;$&quot;* #,##0_);_(&quot;$&quot;* \(#,##0\);_(&quot;$&quot;* &quot;-&quot;??_);_(@_)"/>
    <numFmt numFmtId="168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424242"/>
      <name val="Helvetica Neue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CCFFCC"/>
      <name val="Open_sansregular"/>
    </font>
    <font>
      <sz val="11"/>
      <color rgb="FF333333"/>
      <name val="Helvetica Neue"/>
      <family val="2"/>
    </font>
    <font>
      <sz val="13"/>
      <color rgb="FF000000"/>
      <name val=".AppleSystemUIFontRounded"/>
    </font>
    <font>
      <sz val="13"/>
      <color theme="1"/>
      <name val="Helvetica Neue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44" fontId="0" fillId="0" borderId="0" xfId="1" applyFont="1"/>
    <xf numFmtId="0" fontId="4" fillId="0" borderId="0" xfId="0" applyFon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16" fontId="0" fillId="0" borderId="0" xfId="0" applyNumberFormat="1"/>
    <xf numFmtId="0" fontId="0" fillId="3" borderId="0" xfId="0" applyFill="1"/>
    <xf numFmtId="164" fontId="0" fillId="0" borderId="0" xfId="0" applyNumberFormat="1"/>
    <xf numFmtId="44" fontId="0" fillId="0" borderId="0" xfId="0" applyNumberFormat="1"/>
    <xf numFmtId="164" fontId="5" fillId="2" borderId="0" xfId="0" applyNumberFormat="1" applyFont="1" applyFill="1" applyAlignment="1">
      <alignment wrapText="1"/>
    </xf>
    <xf numFmtId="164" fontId="0" fillId="3" borderId="1" xfId="0" applyNumberFormat="1" applyFont="1" applyFill="1" applyBorder="1"/>
    <xf numFmtId="44" fontId="0" fillId="0" borderId="0" xfId="1" applyFont="1" applyAlignment="1">
      <alignment horizontal="center"/>
    </xf>
    <xf numFmtId="0" fontId="7" fillId="0" borderId="0" xfId="2"/>
    <xf numFmtId="0" fontId="8" fillId="0" borderId="0" xfId="0" applyFont="1"/>
    <xf numFmtId="0" fontId="6" fillId="0" borderId="0" xfId="0" applyFont="1"/>
    <xf numFmtId="2" fontId="0" fillId="3" borderId="0" xfId="0" applyNumberFormat="1" applyFill="1"/>
    <xf numFmtId="44" fontId="0" fillId="3" borderId="0" xfId="0" applyNumberFormat="1" applyFill="1"/>
    <xf numFmtId="0" fontId="0" fillId="4" borderId="0" xfId="0" applyFill="1"/>
    <xf numFmtId="44" fontId="5" fillId="2" borderId="0" xfId="1" applyFont="1" applyFill="1" applyAlignment="1">
      <alignment wrapText="1"/>
    </xf>
    <xf numFmtId="0" fontId="6" fillId="5" borderId="0" xfId="0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applyFill="1" applyAlignment="1">
      <alignment horizontal="center"/>
    </xf>
    <xf numFmtId="44" fontId="0" fillId="5" borderId="0" xfId="1" applyFont="1" applyFill="1"/>
    <xf numFmtId="0" fontId="5" fillId="2" borderId="0" xfId="0" applyFont="1" applyFill="1" applyAlignment="1">
      <alignment horizontal="center" wrapText="1"/>
    </xf>
    <xf numFmtId="44" fontId="5" fillId="2" borderId="0" xfId="1" applyFont="1" applyFill="1" applyAlignment="1">
      <alignment horizontal="center" wrapText="1"/>
    </xf>
    <xf numFmtId="2" fontId="5" fillId="2" borderId="0" xfId="0" applyNumberFormat="1" applyFont="1" applyFill="1" applyAlignment="1">
      <alignment wrapText="1"/>
    </xf>
    <xf numFmtId="44" fontId="5" fillId="2" borderId="0" xfId="0" applyNumberFormat="1" applyFont="1" applyFill="1" applyAlignment="1">
      <alignment wrapText="1"/>
    </xf>
    <xf numFmtId="0" fontId="0" fillId="6" borderId="0" xfId="0" applyFill="1"/>
    <xf numFmtId="0" fontId="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/>
    <xf numFmtId="2" fontId="0" fillId="7" borderId="0" xfId="0" applyNumberFormat="1" applyFill="1"/>
    <xf numFmtId="44" fontId="0" fillId="7" borderId="0" xfId="0" applyNumberFormat="1" applyFill="1"/>
    <xf numFmtId="165" fontId="0" fillId="0" borderId="0" xfId="0" applyNumberFormat="1"/>
    <xf numFmtId="0" fontId="7" fillId="5" borderId="0" xfId="2" applyFill="1"/>
    <xf numFmtId="0" fontId="8" fillId="5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166" fontId="0" fillId="0" borderId="0" xfId="4" applyNumberFormat="1" applyFont="1"/>
    <xf numFmtId="0" fontId="0" fillId="0" borderId="0" xfId="0" applyAlignment="1">
      <alignment vertical="center" textRotation="90"/>
    </xf>
    <xf numFmtId="0" fontId="0" fillId="0" borderId="3" xfId="0" applyBorder="1"/>
    <xf numFmtId="44" fontId="0" fillId="0" borderId="3" xfId="1" applyFont="1" applyBorder="1"/>
    <xf numFmtId="0" fontId="0" fillId="8" borderId="4" xfId="0" applyFill="1" applyBorder="1"/>
    <xf numFmtId="0" fontId="0" fillId="10" borderId="4" xfId="0" applyFill="1" applyBorder="1"/>
    <xf numFmtId="0" fontId="0" fillId="3" borderId="6" xfId="0" applyFill="1" applyBorder="1" applyAlignment="1">
      <alignment vertical="center" textRotation="90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6" xfId="0" applyFill="1" applyBorder="1"/>
    <xf numFmtId="0" fontId="0" fillId="0" borderId="6" xfId="0" applyBorder="1"/>
    <xf numFmtId="0" fontId="0" fillId="3" borderId="8" xfId="0" applyFill="1" applyBorder="1" applyAlignment="1">
      <alignment vertical="center" textRotation="90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8" xfId="0" applyFill="1" applyBorder="1"/>
    <xf numFmtId="0" fontId="0" fillId="9" borderId="10" xfId="0" applyFill="1" applyBorder="1"/>
    <xf numFmtId="0" fontId="0" fillId="0" borderId="0" xfId="0" applyFill="1"/>
    <xf numFmtId="44" fontId="0" fillId="0" borderId="0" xfId="1" applyFont="1" applyFill="1"/>
    <xf numFmtId="44" fontId="0" fillId="0" borderId="3" xfId="1" applyFont="1" applyFill="1" applyBorder="1"/>
    <xf numFmtId="167" fontId="0" fillId="0" borderId="0" xfId="0" applyNumberFormat="1"/>
    <xf numFmtId="167" fontId="0" fillId="8" borderId="4" xfId="0" applyNumberFormat="1" applyFill="1" applyBorder="1"/>
    <xf numFmtId="167" fontId="0" fillId="9" borderId="10" xfId="0" applyNumberFormat="1" applyFill="1" applyBorder="1"/>
    <xf numFmtId="167" fontId="0" fillId="3" borderId="6" xfId="0" applyNumberFormat="1" applyFill="1" applyBorder="1"/>
    <xf numFmtId="167" fontId="0" fillId="3" borderId="8" xfId="0" applyNumberFormat="1" applyFill="1" applyBorder="1"/>
    <xf numFmtId="168" fontId="0" fillId="0" borderId="0" xfId="3" applyNumberFormat="1" applyFont="1"/>
    <xf numFmtId="168" fontId="0" fillId="8" borderId="4" xfId="3" applyNumberFormat="1" applyFont="1" applyFill="1" applyBorder="1"/>
    <xf numFmtId="168" fontId="0" fillId="9" borderId="10" xfId="3" applyNumberFormat="1" applyFont="1" applyFill="1" applyBorder="1"/>
    <xf numFmtId="168" fontId="0" fillId="3" borderId="6" xfId="3" applyNumberFormat="1" applyFont="1" applyFill="1" applyBorder="1"/>
    <xf numFmtId="0" fontId="5" fillId="2" borderId="3" xfId="0" applyFont="1" applyFill="1" applyBorder="1"/>
    <xf numFmtId="0" fontId="0" fillId="11" borderId="13" xfId="0" applyFill="1" applyBorder="1"/>
    <xf numFmtId="168" fontId="0" fillId="11" borderId="13" xfId="3" applyNumberFormat="1" applyFont="1" applyFill="1" applyBorder="1"/>
    <xf numFmtId="168" fontId="0" fillId="9" borderId="14" xfId="3" applyNumberFormat="1" applyFont="1" applyFill="1" applyBorder="1"/>
    <xf numFmtId="168" fontId="0" fillId="3" borderId="15" xfId="3" applyNumberFormat="1" applyFont="1" applyFill="1" applyBorder="1"/>
    <xf numFmtId="0" fontId="0" fillId="11" borderId="16" xfId="0" applyFill="1" applyBorder="1"/>
    <xf numFmtId="0" fontId="0" fillId="0" borderId="13" xfId="0" applyBorder="1"/>
    <xf numFmtId="0" fontId="0" fillId="0" borderId="0" xfId="0" applyBorder="1" applyAlignment="1">
      <alignment horizontal="center" vertical="center" textRotation="90"/>
    </xf>
    <xf numFmtId="0" fontId="0" fillId="9" borderId="0" xfId="0" applyFill="1" applyBorder="1"/>
    <xf numFmtId="167" fontId="0" fillId="0" borderId="0" xfId="1" applyNumberFormat="1" applyFont="1"/>
    <xf numFmtId="44" fontId="5" fillId="2" borderId="0" xfId="1" applyFont="1" applyFill="1" applyAlignment="1">
      <alignment horizontal="center"/>
    </xf>
    <xf numFmtId="0" fontId="0" fillId="13" borderId="0" xfId="0" applyFill="1"/>
    <xf numFmtId="2" fontId="0" fillId="13" borderId="0" xfId="0" applyNumberFormat="1" applyFill="1"/>
    <xf numFmtId="2" fontId="0" fillId="0" borderId="0" xfId="0" applyNumberFormat="1" applyFill="1"/>
    <xf numFmtId="167" fontId="0" fillId="0" borderId="6" xfId="1" applyNumberFormat="1" applyFont="1" applyBorder="1"/>
    <xf numFmtId="0" fontId="0" fillId="3" borderId="2" xfId="0" applyFill="1" applyBorder="1"/>
    <xf numFmtId="0" fontId="0" fillId="0" borderId="8" xfId="0" applyBorder="1"/>
    <xf numFmtId="167" fontId="0" fillId="0" borderId="8" xfId="1" applyNumberFormat="1" applyFont="1" applyBorder="1"/>
    <xf numFmtId="0" fontId="0" fillId="0" borderId="0" xfId="0" applyFill="1" applyBorder="1" applyAlignment="1">
      <alignment horizontal="center"/>
    </xf>
    <xf numFmtId="0" fontId="13" fillId="2" borderId="0" xfId="0" applyFont="1" applyFill="1" applyAlignment="1"/>
    <xf numFmtId="0" fontId="0" fillId="0" borderId="0" xfId="0" applyFill="1" applyAlignment="1">
      <alignment horizontal="center"/>
    </xf>
    <xf numFmtId="0" fontId="0" fillId="0" borderId="13" xfId="0" applyFill="1" applyBorder="1"/>
    <xf numFmtId="0" fontId="11" fillId="0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14" borderId="0" xfId="0" applyFont="1" applyFill="1" applyAlignment="1"/>
    <xf numFmtId="0" fontId="15" fillId="15" borderId="0" xfId="0" applyFont="1" applyFill="1"/>
    <xf numFmtId="44" fontId="5" fillId="14" borderId="0" xfId="1" applyFont="1" applyFill="1" applyAlignment="1"/>
    <xf numFmtId="167" fontId="0" fillId="0" borderId="10" xfId="1" applyNumberFormat="1" applyFont="1" applyFill="1" applyBorder="1"/>
    <xf numFmtId="44" fontId="0" fillId="0" borderId="6" xfId="1" applyFont="1" applyBorder="1"/>
    <xf numFmtId="44" fontId="0" fillId="0" borderId="10" xfId="1" applyFont="1" applyBorder="1"/>
    <xf numFmtId="44" fontId="0" fillId="0" borderId="8" xfId="1" applyFont="1" applyBorder="1"/>
    <xf numFmtId="44" fontId="0" fillId="0" borderId="2" xfId="1" applyFont="1" applyBorder="1"/>
    <xf numFmtId="0" fontId="0" fillId="15" borderId="10" xfId="0" applyFill="1" applyBorder="1"/>
    <xf numFmtId="167" fontId="0" fillId="3" borderId="1" xfId="1" applyNumberFormat="1" applyFont="1" applyFill="1" applyBorder="1"/>
    <xf numFmtId="0" fontId="0" fillId="0" borderId="0" xfId="0" applyBorder="1"/>
    <xf numFmtId="167" fontId="0" fillId="0" borderId="0" xfId="1" applyNumberFormat="1" applyFont="1" applyBorder="1"/>
    <xf numFmtId="167" fontId="0" fillId="0" borderId="2" xfId="1" applyNumberFormat="1" applyFont="1" applyFill="1" applyBorder="1"/>
    <xf numFmtId="167" fontId="0" fillId="0" borderId="10" xfId="1" applyNumberFormat="1" applyFont="1" applyBorder="1"/>
    <xf numFmtId="0" fontId="0" fillId="0" borderId="10" xfId="0" applyBorder="1"/>
    <xf numFmtId="0" fontId="15" fillId="15" borderId="10" xfId="0" applyFont="1" applyFill="1" applyBorder="1"/>
    <xf numFmtId="0" fontId="15" fillId="15" borderId="19" xfId="0" applyFont="1" applyFill="1" applyBorder="1"/>
    <xf numFmtId="44" fontId="0" fillId="0" borderId="19" xfId="1" applyFont="1" applyBorder="1"/>
    <xf numFmtId="0" fontId="0" fillId="3" borderId="20" xfId="0" applyFill="1" applyBorder="1"/>
    <xf numFmtId="44" fontId="0" fillId="0" borderId="20" xfId="1" applyFont="1" applyBorder="1"/>
    <xf numFmtId="0" fontId="0" fillId="0" borderId="19" xfId="0" applyBorder="1"/>
    <xf numFmtId="0" fontId="0" fillId="9" borderId="19" xfId="0" applyFill="1" applyBorder="1"/>
    <xf numFmtId="16" fontId="5" fillId="2" borderId="0" xfId="0" applyNumberFormat="1" applyFont="1" applyFill="1"/>
    <xf numFmtId="44" fontId="0" fillId="0" borderId="0" xfId="1" applyFont="1" applyAlignment="1">
      <alignment horizontal="center"/>
    </xf>
    <xf numFmtId="0" fontId="16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11" borderId="0" xfId="0" applyFill="1"/>
    <xf numFmtId="2" fontId="0" fillId="11" borderId="0" xfId="0" applyNumberFormat="1" applyFill="1"/>
    <xf numFmtId="44" fontId="0" fillId="11" borderId="0" xfId="1" applyFont="1" applyFill="1"/>
    <xf numFmtId="165" fontId="0" fillId="11" borderId="0" xfId="0" applyNumberFormat="1" applyFill="1"/>
    <xf numFmtId="44" fontId="0" fillId="0" borderId="0" xfId="1" applyFont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44" fontId="5" fillId="2" borderId="0" xfId="1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257886</xdr:colOff>
      <xdr:row>0</xdr:row>
      <xdr:rowOff>0</xdr:rowOff>
    </xdr:from>
    <xdr:to>
      <xdr:col>16</xdr:col>
      <xdr:colOff>664286</xdr:colOff>
      <xdr:row>27</xdr:row>
      <xdr:rowOff>91492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F32C5-995E-4644-A14B-AE7FB358B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968" y="0"/>
          <a:ext cx="5382726" cy="5404757"/>
        </a:xfrm>
        <a:prstGeom prst="rect">
          <a:avLst/>
        </a:prstGeom>
      </xdr:spPr>
    </xdr:pic>
    <xdr:clientData/>
  </xdr:twoCellAnchor>
  <xdr:twoCellAnchor editAs="oneCell">
    <xdr:from>
      <xdr:col>10</xdr:col>
      <xdr:colOff>205533</xdr:colOff>
      <xdr:row>24</xdr:row>
      <xdr:rowOff>168470</xdr:rowOff>
    </xdr:from>
    <xdr:to>
      <xdr:col>18</xdr:col>
      <xdr:colOff>323721</xdr:colOff>
      <xdr:row>40</xdr:row>
      <xdr:rowOff>180652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3B3EB-6B49-B744-BEE2-083BCBD2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4615" y="4859694"/>
          <a:ext cx="6753290" cy="3148304"/>
        </a:xfrm>
        <a:prstGeom prst="rect">
          <a:avLst/>
        </a:prstGeom>
      </xdr:spPr>
    </xdr:pic>
    <xdr:clientData/>
  </xdr:twoCellAnchor>
  <xdr:twoCellAnchor editAs="oneCell">
    <xdr:from>
      <xdr:col>15</xdr:col>
      <xdr:colOff>554912</xdr:colOff>
      <xdr:row>25</xdr:row>
      <xdr:rowOff>100044</xdr:rowOff>
    </xdr:from>
    <xdr:to>
      <xdr:col>18</xdr:col>
      <xdr:colOff>706965</xdr:colOff>
      <xdr:row>53</xdr:row>
      <xdr:rowOff>48725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6AA19A-DD5F-5B41-BF90-81F1B99D4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19708" y="5931677"/>
          <a:ext cx="2640217" cy="5417457"/>
        </a:xfrm>
        <a:prstGeom prst="rect">
          <a:avLst/>
        </a:prstGeom>
      </xdr:spPr>
    </xdr:pic>
    <xdr:clientData/>
  </xdr:twoCellAnchor>
  <xdr:twoCellAnchor editAs="oneCell">
    <xdr:from>
      <xdr:col>13</xdr:col>
      <xdr:colOff>160952</xdr:colOff>
      <xdr:row>0</xdr:row>
      <xdr:rowOff>0</xdr:rowOff>
    </xdr:from>
    <xdr:to>
      <xdr:col>20</xdr:col>
      <xdr:colOff>622040</xdr:colOff>
      <xdr:row>39</xdr:row>
      <xdr:rowOff>36804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85CCFB-01D2-3041-9ABD-A0484B5D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48197" y="0"/>
          <a:ext cx="6266802" cy="7682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735085</xdr:colOff>
      <xdr:row>32</xdr:row>
      <xdr:rowOff>112889</xdr:rowOff>
    </xdr:from>
    <xdr:to>
      <xdr:col>18</xdr:col>
      <xdr:colOff>190340</xdr:colOff>
      <xdr:row>54</xdr:row>
      <xdr:rowOff>74788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9E06CD-EB56-4448-8132-8D2B83CCC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3641" y="5446889"/>
          <a:ext cx="6948255" cy="4308121"/>
        </a:xfrm>
        <a:prstGeom prst="rect">
          <a:avLst/>
        </a:prstGeom>
      </xdr:spPr>
    </xdr:pic>
    <xdr:clientData/>
  </xdr:twoCellAnchor>
  <xdr:twoCellAnchor editAs="oneCell">
    <xdr:from>
      <xdr:col>10</xdr:col>
      <xdr:colOff>680626</xdr:colOff>
      <xdr:row>0</xdr:row>
      <xdr:rowOff>0</xdr:rowOff>
    </xdr:from>
    <xdr:to>
      <xdr:col>16</xdr:col>
      <xdr:colOff>324556</xdr:colOff>
      <xdr:row>27</xdr:row>
      <xdr:rowOff>91232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68AC5B-11A4-3040-A959-C28481B8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1737" y="0"/>
          <a:ext cx="4639263" cy="5425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1481666</xdr:colOff>
      <xdr:row>4</xdr:row>
      <xdr:rowOff>169333</xdr:rowOff>
    </xdr:from>
    <xdr:to>
      <xdr:col>22</xdr:col>
      <xdr:colOff>546100</xdr:colOff>
      <xdr:row>27</xdr:row>
      <xdr:rowOff>146755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8B749-6CA1-C940-92F0-CDA9A47B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7222" y="1368777"/>
          <a:ext cx="5499100" cy="452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efs-resources.com/culinary-conversions-calculators-and-capacities/dry-spice-yield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ebstaurantstore.com/regal-ground-cumin-4-lb/1020708239.html" TargetMode="External"/><Relationship Id="rId13" Type="http://schemas.openxmlformats.org/officeDocument/2006/relationships/hyperlink" Target="https://hoosierhillfarm.com/Hoosier-Hill-Bakers-Bags-Bulk-Sizes-Buttermilk-Powder-5-lbs.html" TargetMode="External"/><Relationship Id="rId18" Type="http://schemas.openxmlformats.org/officeDocument/2006/relationships/hyperlink" Target="https://www.webstaurantstore.com/regal-bay-leaves-12-oz/10200014.html" TargetMode="External"/><Relationship Id="rId26" Type="http://schemas.openxmlformats.org/officeDocument/2006/relationships/hyperlink" Target="https://www.webstaurantstore.com/father-sams-bakery-12-count-8-flour-tortilla-wraps-case/876559915.html" TargetMode="External"/><Relationship Id="rId3" Type="http://schemas.openxmlformats.org/officeDocument/2006/relationships/hyperlink" Target="https://www.webstaurantstore.com/regal-chives-9-oz/10200030.html" TargetMode="External"/><Relationship Id="rId21" Type="http://schemas.openxmlformats.org/officeDocument/2006/relationships/hyperlink" Target="https://www.webstaurantstore.com/pure-olive-oil-1-gallon-tin/101OLIVEOIL.html" TargetMode="External"/><Relationship Id="rId7" Type="http://schemas.openxmlformats.org/officeDocument/2006/relationships/hyperlink" Target="https://www.webstaurantstore.com/regal-fancy-paprika-5-lb/10200104.html" TargetMode="External"/><Relationship Id="rId12" Type="http://schemas.openxmlformats.org/officeDocument/2006/relationships/hyperlink" Target="https://www.webstaurantstore.com/regal-parsley-flakes-12-oz/10200106.html" TargetMode="External"/><Relationship Id="rId17" Type="http://schemas.openxmlformats.org/officeDocument/2006/relationships/hyperlink" Target="https://www.webstaurantstore.com/regal-foods-soy-sauce-1-gallon-bulk-container/99958331.html" TargetMode="External"/><Relationship Id="rId25" Type="http://schemas.openxmlformats.org/officeDocument/2006/relationships/hyperlink" Target="https://www.pork.org/facts/stats/consumption-and-expenditures/wholesale-usda-prices-for-pork-sub-primals/" TargetMode="External"/><Relationship Id="rId2" Type="http://schemas.openxmlformats.org/officeDocument/2006/relationships/hyperlink" Target="https://www.webstaurantstore.com/regal-minced-onion-4-lb/10200094.html" TargetMode="External"/><Relationship Id="rId16" Type="http://schemas.openxmlformats.org/officeDocument/2006/relationships/hyperlink" Target="https://www.webstaurantstore.com/domino-2-lb-light-brown-sugar-case/104992119.html" TargetMode="External"/><Relationship Id="rId20" Type="http://schemas.openxmlformats.org/officeDocument/2006/relationships/hyperlink" Target="https://www.webstaurantstore.com/realime-100-lime-juice-1-gallon-bottle-case/125JUCLIME.html" TargetMode="External"/><Relationship Id="rId29" Type="http://schemas.openxmlformats.org/officeDocument/2006/relationships/hyperlink" Target="https://www.samsclub.com/p/case-sale-80-20-angus-ground-chuck-fine-grind-bulk/prod17160008?xid=plp_product_1" TargetMode="External"/><Relationship Id="rId1" Type="http://schemas.openxmlformats.org/officeDocument/2006/relationships/hyperlink" Target="https://www.webstaurantstore.com/regal-kosher-salt-7-lb/10200500.html" TargetMode="External"/><Relationship Id="rId6" Type="http://schemas.openxmlformats.org/officeDocument/2006/relationships/hyperlink" Target="https://www.webstaurantstore.com/regal-garlic-powder-5-lb/10200064.html" TargetMode="External"/><Relationship Id="rId11" Type="http://schemas.openxmlformats.org/officeDocument/2006/relationships/hyperlink" Target="https://www.webstaurantstore.com/regal-fancy-oregano-leaves-1-lb/10200101.html" TargetMode="External"/><Relationship Id="rId24" Type="http://schemas.openxmlformats.org/officeDocument/2006/relationships/hyperlink" Target="https://www.webstaurantstore.com/smithfield-cream-cheese-30-lb-case/875776001.html" TargetMode="External"/><Relationship Id="rId5" Type="http://schemas.openxmlformats.org/officeDocument/2006/relationships/hyperlink" Target="https://www.webstaurantstore.com/regal-onion-powder-4-lb/102707864.html" TargetMode="External"/><Relationship Id="rId15" Type="http://schemas.openxmlformats.org/officeDocument/2006/relationships/hyperlink" Target="https://www.webstaurantstore.com/sweet-baby-rays-1-gallon-buffalo-wing-sauce/999991110.html?utm_source=google&amp;utm_medium=cpc&amp;utm_campaign=GoogleShopping&amp;gclid=CjwKCAiAouD_BRBIEiwALhJH6EtwZrJx-BC8Zvh3dJPs4vMFfMP6R92Qu_7xvmA6uz4ESF3XR0TmmhoCfgQQAvD_BwE" TargetMode="External"/><Relationship Id="rId23" Type="http://schemas.openxmlformats.org/officeDocument/2006/relationships/hyperlink" Target="https://www.walmart.com/grocery/ip/Cilantro-bunch/17018060" TargetMode="External"/><Relationship Id="rId28" Type="http://schemas.openxmlformats.org/officeDocument/2006/relationships/hyperlink" Target="https://www.webstaurantstore.com/5-lb-bag-fancy-shred-cheddar-and-monterey-jack-cheese-blend-case/875774353C.html" TargetMode="External"/><Relationship Id="rId10" Type="http://schemas.openxmlformats.org/officeDocument/2006/relationships/hyperlink" Target="https://www.webstaurantstore.com/regal-dill-weed-32-oz/102708074.html" TargetMode="External"/><Relationship Id="rId19" Type="http://schemas.openxmlformats.org/officeDocument/2006/relationships/hyperlink" Target="https://www.webstaurantstore.com/figaro-1-gallon-hickory-liquid-smoke-and-marinade/125FSHICK1G.html?utm_source=google&amp;utm_medium=cpc&amp;utm_campaign=GoogleShopping&amp;gclid=CjwKCAiAouD_BRBIEiwALhJH6HF14oi1RomPvCh9i5GN-0JLo-iDBZD_JjZuQHJWHc2jX59hrR_RXRoCE08QAvD_BwE" TargetMode="External"/><Relationship Id="rId31" Type="http://schemas.openxmlformats.org/officeDocument/2006/relationships/comments" Target="../comments3.xml"/><Relationship Id="rId4" Type="http://schemas.openxmlformats.org/officeDocument/2006/relationships/hyperlink" Target="https://www.webstaurantstore.com/regal-fine-black-pepper-5-lb/10200504.html" TargetMode="External"/><Relationship Id="rId9" Type="http://schemas.openxmlformats.org/officeDocument/2006/relationships/hyperlink" Target="https://www.webstaurantstore.com/regal-chili-powder-5-lb/10200312.html" TargetMode="External"/><Relationship Id="rId14" Type="http://schemas.openxmlformats.org/officeDocument/2006/relationships/hyperlink" Target="https://www.webstaurantstore.com/sweet-baby-rays-1-gallon-barbecue-sauce/999991112.html" TargetMode="External"/><Relationship Id="rId22" Type="http://schemas.openxmlformats.org/officeDocument/2006/relationships/hyperlink" Target="https://www.roundeyesupply.com/Clement-Pappas-Orange-Juice-Can-46-Oz-p/de388423.htm" TargetMode="External"/><Relationship Id="rId27" Type="http://schemas.openxmlformats.org/officeDocument/2006/relationships/hyperlink" Target="https://www.walmart.com/ip/Red-Onions-2-lb-Bag/38127803" TargetMode="External"/><Relationship Id="rId30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ebstaurantstore.com/carnival-king-3-1-2-x-1-1-2-x-9-plain-paper-hot-dog-bag-case/1503525.html" TargetMode="External"/><Relationship Id="rId3" Type="http://schemas.openxmlformats.org/officeDocument/2006/relationships/hyperlink" Target="https://www.papermart.com/p/twoin-blank-white-labels-round/148557" TargetMode="External"/><Relationship Id="rId7" Type="http://schemas.openxmlformats.org/officeDocument/2006/relationships/hyperlink" Target="https://www.stickermule.com/custom-labels" TargetMode="External"/><Relationship Id="rId2" Type="http://schemas.openxmlformats.org/officeDocument/2006/relationships/hyperlink" Target="https://www.webstaurantstore.com/carnival-king-3-1-2-x-1-1-2-x-9-unprinted-foil-hot-dog-bag-case/150456%20%20%20%20%20%201M.html" TargetMode="External"/><Relationship Id="rId1" Type="http://schemas.openxmlformats.org/officeDocument/2006/relationships/hyperlink" Target="https://www.papermart.com/p/divided-pet-microwavable-containers/137798" TargetMode="External"/><Relationship Id="rId6" Type="http://schemas.openxmlformats.org/officeDocument/2006/relationships/hyperlink" Target="https://www.customink.com/ink/company-t-shirts" TargetMode="External"/><Relationship Id="rId5" Type="http://schemas.openxmlformats.org/officeDocument/2006/relationships/hyperlink" Target="https://www.homedepot.com/p/Snapware-Airtight-40-Cup-Plastic-Storage-Container-with-Blue-Handle-1098437/301679150" TargetMode="External"/><Relationship Id="rId10" Type="http://schemas.openxmlformats.org/officeDocument/2006/relationships/hyperlink" Target="https://www.rubberstamps.net/FixedSize.aspx?ProductID=WOODSTAMP32" TargetMode="External"/><Relationship Id="rId4" Type="http://schemas.openxmlformats.org/officeDocument/2006/relationships/hyperlink" Target="https://www.target.com/p/snap-and-store-large-rectangle-food-storage-container-2ct-128oz-up-38-up-8482/-/A-14695654" TargetMode="External"/><Relationship Id="rId9" Type="http://schemas.openxmlformats.org/officeDocument/2006/relationships/hyperlink" Target="https://www.gatorpaper.net/custom-printed-hot-dog-bag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4C9C-7A47-5649-B1F8-B22B27F78F87}">
  <sheetPr>
    <tabColor rgb="FFFF0000"/>
  </sheetPr>
  <dimension ref="A3:G27"/>
  <sheetViews>
    <sheetView workbookViewId="0">
      <selection activeCell="E31" sqref="E31"/>
    </sheetView>
  </sheetViews>
  <sheetFormatPr baseColWidth="10" defaultRowHeight="15"/>
  <cols>
    <col min="1" max="1" width="21" bestFit="1" customWidth="1"/>
    <col min="2" max="4" width="11.1640625" style="1" bestFit="1" customWidth="1"/>
    <col min="5" max="7" width="10.83203125" style="1"/>
  </cols>
  <sheetData>
    <row r="3" spans="1:7">
      <c r="A3" s="95" t="s">
        <v>316</v>
      </c>
      <c r="B3" s="99" t="s">
        <v>332</v>
      </c>
      <c r="C3" s="99" t="s">
        <v>333</v>
      </c>
      <c r="D3" s="99" t="s">
        <v>334</v>
      </c>
      <c r="E3" s="99" t="s">
        <v>335</v>
      </c>
      <c r="F3" s="99" t="s">
        <v>336</v>
      </c>
      <c r="G3" s="99" t="s">
        <v>337</v>
      </c>
    </row>
    <row r="4" spans="1:7">
      <c r="A4" s="97" t="s">
        <v>317</v>
      </c>
    </row>
    <row r="5" spans="1:7">
      <c r="A5" t="s">
        <v>355</v>
      </c>
      <c r="B5" s="1">
        <f>'Cash Flow'!B36</f>
        <v>21957.161967447915</v>
      </c>
      <c r="C5" s="1">
        <f>'Cash Flow'!C36</f>
        <v>36183.806222490697</v>
      </c>
      <c r="D5" s="1">
        <f>'Cash Flow'!D36</f>
        <v>50904.292684301334</v>
      </c>
      <c r="E5" s="1">
        <f>'Cash Flow'!E36</f>
        <v>66118.227377879826</v>
      </c>
      <c r="F5" s="1">
        <f>'Cash Flow'!F36</f>
        <v>81854.276261482504</v>
      </c>
      <c r="G5" s="1">
        <f>'Cash Flow'!G36</f>
        <v>98112.021367031863</v>
      </c>
    </row>
    <row r="6" spans="1:7">
      <c r="A6" t="s">
        <v>356</v>
      </c>
    </row>
    <row r="7" spans="1:7">
      <c r="A7" t="s">
        <v>357</v>
      </c>
    </row>
    <row r="8" spans="1:7">
      <c r="A8" s="113" t="s">
        <v>318</v>
      </c>
      <c r="B8" s="114">
        <f>SUM(B5:B7)</f>
        <v>21957.161967447915</v>
      </c>
      <c r="C8" s="114">
        <f t="shared" ref="C8:G8" si="0">SUM(C5:C7)</f>
        <v>36183.806222490697</v>
      </c>
      <c r="D8" s="114">
        <f t="shared" si="0"/>
        <v>50904.292684301334</v>
      </c>
      <c r="E8" s="114">
        <f t="shared" si="0"/>
        <v>66118.227377879826</v>
      </c>
      <c r="F8" s="114">
        <f t="shared" si="0"/>
        <v>81854.276261482504</v>
      </c>
      <c r="G8" s="114">
        <f t="shared" si="0"/>
        <v>98112.021367031863</v>
      </c>
    </row>
    <row r="9" spans="1:7">
      <c r="A9" s="97" t="s">
        <v>319</v>
      </c>
    </row>
    <row r="10" spans="1:7">
      <c r="A10" t="s">
        <v>362</v>
      </c>
      <c r="B10" s="1">
        <f>SUMIF(Expenses!D:D,"Depreciating",Expenses!C:C)</f>
        <v>27100</v>
      </c>
      <c r="C10" s="1">
        <f>B10+B11</f>
        <v>26777.380952380954</v>
      </c>
      <c r="D10" s="1">
        <f>C10+C11</f>
        <v>26132.142857142859</v>
      </c>
      <c r="E10" s="1">
        <f t="shared" ref="E10:G10" si="1">D10+D11</f>
        <v>25164.285714285717</v>
      </c>
      <c r="F10" s="1">
        <f t="shared" si="1"/>
        <v>23873.809523809527</v>
      </c>
      <c r="G10" s="1">
        <f t="shared" si="1"/>
        <v>22260.71428571429</v>
      </c>
    </row>
    <row r="11" spans="1:7">
      <c r="A11" t="s">
        <v>358</v>
      </c>
      <c r="B11" s="1">
        <f>-('Income Statement'!B11)</f>
        <v>-322.61904761904765</v>
      </c>
      <c r="C11" s="1">
        <f>B11-'Income Statement'!C11</f>
        <v>-645.2380952380953</v>
      </c>
      <c r="D11" s="1">
        <f>C11-'Income Statement'!D11</f>
        <v>-967.85714285714289</v>
      </c>
      <c r="E11" s="1">
        <f>D11-'Income Statement'!E11</f>
        <v>-1290.4761904761906</v>
      </c>
      <c r="F11" s="1">
        <f>E11-'Income Statement'!F11</f>
        <v>-1613.0952380952383</v>
      </c>
      <c r="G11" s="1">
        <f>F11-'Income Statement'!G11</f>
        <v>-1935.714285714286</v>
      </c>
    </row>
    <row r="13" spans="1:7" ht="16" thickBot="1">
      <c r="A13" s="112" t="s">
        <v>320</v>
      </c>
      <c r="B13" s="102">
        <f>SUM(B10:B12)</f>
        <v>26777.380952380954</v>
      </c>
      <c r="C13" s="102">
        <f t="shared" ref="C13:G13" si="2">SUM(C10:C12)</f>
        <v>26132.142857142859</v>
      </c>
      <c r="D13" s="102">
        <f t="shared" si="2"/>
        <v>25164.285714285717</v>
      </c>
      <c r="E13" s="102">
        <f t="shared" si="2"/>
        <v>23873.809523809527</v>
      </c>
      <c r="F13" s="102">
        <f t="shared" si="2"/>
        <v>22260.71428571429</v>
      </c>
      <c r="G13" s="102">
        <f t="shared" si="2"/>
        <v>20325.000000000004</v>
      </c>
    </row>
    <row r="14" spans="1:7" ht="16" thickBot="1">
      <c r="A14" s="115" t="s">
        <v>321</v>
      </c>
      <c r="B14" s="116">
        <f>B13+B8</f>
        <v>48734.542919828869</v>
      </c>
      <c r="C14" s="116">
        <f t="shared" ref="C14:G14" si="3">C13+C8</f>
        <v>62315.949079633559</v>
      </c>
      <c r="D14" s="116">
        <f t="shared" si="3"/>
        <v>76068.578398587051</v>
      </c>
      <c r="E14" s="116">
        <f t="shared" si="3"/>
        <v>89992.036901689353</v>
      </c>
      <c r="F14" s="116">
        <f t="shared" si="3"/>
        <v>104114.99054719679</v>
      </c>
      <c r="G14" s="116">
        <f t="shared" si="3"/>
        <v>118437.02136703186</v>
      </c>
    </row>
    <row r="15" spans="1:7" ht="16" thickTop="1"/>
    <row r="16" spans="1:7">
      <c r="A16" s="95" t="s">
        <v>322</v>
      </c>
      <c r="B16" s="99" t="s">
        <v>332</v>
      </c>
      <c r="C16" s="99" t="s">
        <v>333</v>
      </c>
      <c r="D16" s="99" t="s">
        <v>334</v>
      </c>
      <c r="E16" s="99" t="s">
        <v>335</v>
      </c>
      <c r="F16" s="99" t="s">
        <v>336</v>
      </c>
      <c r="G16" s="99" t="s">
        <v>337</v>
      </c>
    </row>
    <row r="17" spans="1:7">
      <c r="A17" s="97" t="s">
        <v>323</v>
      </c>
    </row>
    <row r="18" spans="1:7">
      <c r="A18" t="s">
        <v>359</v>
      </c>
    </row>
    <row r="19" spans="1:7">
      <c r="A19" t="s">
        <v>360</v>
      </c>
    </row>
    <row r="20" spans="1:7">
      <c r="A20" t="s">
        <v>361</v>
      </c>
    </row>
    <row r="21" spans="1:7">
      <c r="A21" s="113" t="s">
        <v>324</v>
      </c>
      <c r="B21" s="114">
        <f>SUM(B18:B20)</f>
        <v>0</v>
      </c>
      <c r="C21" s="114">
        <f t="shared" ref="C21:G21" si="4">SUM(C18:C20)</f>
        <v>0</v>
      </c>
      <c r="D21" s="114">
        <f t="shared" si="4"/>
        <v>0</v>
      </c>
      <c r="E21" s="114">
        <f t="shared" si="4"/>
        <v>0</v>
      </c>
      <c r="F21" s="114">
        <f t="shared" si="4"/>
        <v>0</v>
      </c>
      <c r="G21" s="114">
        <f t="shared" si="4"/>
        <v>0</v>
      </c>
    </row>
    <row r="22" spans="1:7">
      <c r="A22" s="97" t="s">
        <v>325</v>
      </c>
    </row>
    <row r="25" spans="1:7" ht="16" thickBot="1">
      <c r="A25" s="112" t="s">
        <v>326</v>
      </c>
      <c r="B25" s="102">
        <f>SUM(B23:B24)</f>
        <v>0</v>
      </c>
      <c r="C25" s="102">
        <f t="shared" ref="C25:G25" si="5">SUM(C23:C24)</f>
        <v>0</v>
      </c>
      <c r="D25" s="102">
        <f t="shared" si="5"/>
        <v>0</v>
      </c>
      <c r="E25" s="102">
        <f t="shared" si="5"/>
        <v>0</v>
      </c>
      <c r="F25" s="102">
        <f t="shared" si="5"/>
        <v>0</v>
      </c>
      <c r="G25" s="102">
        <f t="shared" si="5"/>
        <v>0</v>
      </c>
    </row>
    <row r="26" spans="1:7" ht="16" thickBot="1">
      <c r="A26" s="115" t="s">
        <v>327</v>
      </c>
      <c r="B26" s="116">
        <f>SUM(B25+B21)</f>
        <v>0</v>
      </c>
      <c r="C26" s="116">
        <f t="shared" ref="C26:G26" si="6">SUM(C25+C21)</f>
        <v>0</v>
      </c>
      <c r="D26" s="116">
        <f t="shared" si="6"/>
        <v>0</v>
      </c>
      <c r="E26" s="116">
        <f t="shared" si="6"/>
        <v>0</v>
      </c>
      <c r="F26" s="116">
        <f t="shared" si="6"/>
        <v>0</v>
      </c>
      <c r="G26" s="116">
        <f t="shared" si="6"/>
        <v>0</v>
      </c>
    </row>
    <row r="27" spans="1:7" ht="16" thickTop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2E1F-51DA-F540-ADF4-DC13B2AAD235}">
  <dimension ref="A1:N21"/>
  <sheetViews>
    <sheetView workbookViewId="0">
      <selection activeCell="B8" sqref="B8"/>
    </sheetView>
  </sheetViews>
  <sheetFormatPr baseColWidth="10" defaultRowHeight="15"/>
  <cols>
    <col min="1" max="1" width="5.6640625" customWidth="1"/>
    <col min="2" max="2" width="40" bestFit="1" customWidth="1"/>
    <col min="3" max="3" width="24" bestFit="1" customWidth="1"/>
    <col min="6" max="6" width="27.33203125" customWidth="1"/>
    <col min="9" max="9" width="13" bestFit="1" customWidth="1"/>
  </cols>
  <sheetData>
    <row r="1" spans="1:14">
      <c r="A1">
        <v>0</v>
      </c>
      <c r="B1" t="s">
        <v>181</v>
      </c>
      <c r="C1" t="s">
        <v>185</v>
      </c>
      <c r="E1" t="s">
        <v>186</v>
      </c>
      <c r="J1" t="s">
        <v>189</v>
      </c>
      <c r="K1" t="s">
        <v>190</v>
      </c>
    </row>
    <row r="2" spans="1:14" ht="17">
      <c r="A2">
        <v>1</v>
      </c>
      <c r="D2" s="3"/>
      <c r="G2" s="42"/>
      <c r="I2" t="s">
        <v>188</v>
      </c>
      <c r="J2">
        <v>0.42099999999999999</v>
      </c>
    </row>
    <row r="3" spans="1:14">
      <c r="A3">
        <v>2</v>
      </c>
      <c r="B3" t="s">
        <v>175</v>
      </c>
      <c r="D3" s="3"/>
      <c r="N3">
        <v>0.125</v>
      </c>
    </row>
    <row r="4" spans="1:14">
      <c r="A4">
        <v>3</v>
      </c>
      <c r="B4" t="s">
        <v>176</v>
      </c>
      <c r="C4">
        <v>3.71</v>
      </c>
      <c r="D4" s="3" t="s">
        <v>184</v>
      </c>
      <c r="I4" t="s">
        <v>207</v>
      </c>
      <c r="J4" t="s">
        <v>189</v>
      </c>
      <c r="K4" t="s">
        <v>190</v>
      </c>
      <c r="L4" t="s">
        <v>206</v>
      </c>
    </row>
    <row r="5" spans="1:14">
      <c r="A5">
        <v>4</v>
      </c>
      <c r="B5" t="s">
        <v>180</v>
      </c>
      <c r="C5" t="s">
        <v>213</v>
      </c>
      <c r="D5" s="3" t="s">
        <v>214</v>
      </c>
      <c r="G5">
        <f>J5/16</f>
        <v>7.1812500000000001E-2</v>
      </c>
      <c r="I5" t="s">
        <v>196</v>
      </c>
      <c r="J5">
        <v>1.149</v>
      </c>
      <c r="K5">
        <v>0.5</v>
      </c>
      <c r="L5">
        <v>4</v>
      </c>
    </row>
    <row r="6" spans="1:14">
      <c r="A6">
        <v>5</v>
      </c>
      <c r="B6" t="s">
        <v>179</v>
      </c>
      <c r="D6" s="3"/>
      <c r="I6" t="s">
        <v>191</v>
      </c>
      <c r="J6">
        <v>1.2010000000000001</v>
      </c>
      <c r="K6">
        <v>0.25</v>
      </c>
      <c r="L6">
        <v>2</v>
      </c>
    </row>
    <row r="7" spans="1:14">
      <c r="A7">
        <v>6</v>
      </c>
      <c r="B7" t="s">
        <v>178</v>
      </c>
      <c r="D7" s="3"/>
      <c r="I7" t="s">
        <v>192</v>
      </c>
      <c r="J7">
        <v>1.2289999999999999</v>
      </c>
      <c r="K7">
        <v>0.25</v>
      </c>
      <c r="L7">
        <v>2</v>
      </c>
    </row>
    <row r="8" spans="1:14">
      <c r="A8">
        <v>7</v>
      </c>
      <c r="B8" t="s">
        <v>177</v>
      </c>
      <c r="D8" s="3"/>
      <c r="I8" t="s">
        <v>193</v>
      </c>
      <c r="J8">
        <v>0.68500000000000005</v>
      </c>
      <c r="K8">
        <v>0.125</v>
      </c>
      <c r="L8">
        <v>1</v>
      </c>
    </row>
    <row r="9" spans="1:14">
      <c r="A9">
        <v>8</v>
      </c>
      <c r="B9" t="s">
        <v>182</v>
      </c>
      <c r="D9" s="3"/>
      <c r="I9" t="s">
        <v>194</v>
      </c>
      <c r="K9">
        <v>6.25E-2</v>
      </c>
      <c r="L9">
        <v>0.5</v>
      </c>
    </row>
    <row r="10" spans="1:14">
      <c r="A10">
        <v>9</v>
      </c>
      <c r="B10" t="s">
        <v>183</v>
      </c>
      <c r="D10" s="3"/>
      <c r="I10" t="s">
        <v>195</v>
      </c>
      <c r="K10">
        <v>6.25E-2</v>
      </c>
      <c r="L10">
        <v>0.5</v>
      </c>
    </row>
    <row r="11" spans="1:14">
      <c r="D11" s="3"/>
      <c r="I11" t="s">
        <v>197</v>
      </c>
      <c r="J11">
        <v>0.60899999999999999</v>
      </c>
      <c r="K11">
        <v>0.125</v>
      </c>
      <c r="L11">
        <v>1</v>
      </c>
    </row>
    <row r="12" spans="1:14">
      <c r="D12" s="3"/>
      <c r="F12" t="s">
        <v>198</v>
      </c>
    </row>
    <row r="13" spans="1:14">
      <c r="D13" s="3"/>
      <c r="F13" t="s">
        <v>200</v>
      </c>
      <c r="G13" t="s">
        <v>205</v>
      </c>
      <c r="I13" t="s">
        <v>191</v>
      </c>
      <c r="J13">
        <f>J6/16</f>
        <v>7.5062500000000004E-2</v>
      </c>
    </row>
    <row r="14" spans="1:14">
      <c r="D14" s="3"/>
      <c r="F14" t="s">
        <v>199</v>
      </c>
      <c r="G14" t="s">
        <v>202</v>
      </c>
      <c r="I14" t="s">
        <v>192</v>
      </c>
      <c r="J14">
        <f t="shared" ref="J14:J15" si="0">J7/16</f>
        <v>7.6812499999999992E-2</v>
      </c>
    </row>
    <row r="15" spans="1:14">
      <c r="D15" s="3"/>
      <c r="F15" t="s">
        <v>201</v>
      </c>
      <c r="G15" t="s">
        <v>203</v>
      </c>
      <c r="I15" t="s">
        <v>193</v>
      </c>
      <c r="J15">
        <f t="shared" si="0"/>
        <v>4.2812500000000003E-2</v>
      </c>
    </row>
    <row r="16" spans="1:14">
      <c r="D16" s="3"/>
      <c r="I16" t="s">
        <v>197</v>
      </c>
      <c r="J16">
        <f>J11/16</f>
        <v>3.8062499999999999E-2</v>
      </c>
    </row>
    <row r="17" spans="4:7">
      <c r="D17" s="3"/>
      <c r="G17" t="s">
        <v>204</v>
      </c>
    </row>
    <row r="18" spans="4:7">
      <c r="D18" s="3"/>
    </row>
    <row r="19" spans="4:7">
      <c r="D19" s="3"/>
    </row>
    <row r="20" spans="4:7">
      <c r="D20" s="3"/>
    </row>
    <row r="21" spans="4:7">
      <c r="D21" s="3"/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C18F-5E7F-7845-9425-98EDEC83B76A}">
  <dimension ref="A1:M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4" sqref="G24"/>
    </sheetView>
  </sheetViews>
  <sheetFormatPr baseColWidth="10" defaultRowHeight="15"/>
  <cols>
    <col min="1" max="1" width="25.5" customWidth="1"/>
    <col min="2" max="2" width="15" customWidth="1"/>
    <col min="3" max="5" width="17.5" customWidth="1"/>
    <col min="6" max="6" width="14.33203125" customWidth="1"/>
    <col min="11" max="11" width="15.5" bestFit="1" customWidth="1"/>
  </cols>
  <sheetData>
    <row r="1" spans="1:13" ht="31">
      <c r="A1" t="s">
        <v>80</v>
      </c>
      <c r="B1" s="39" t="s">
        <v>88</v>
      </c>
      <c r="C1" s="40"/>
      <c r="D1" s="17"/>
      <c r="E1" s="17"/>
      <c r="G1" s="24"/>
      <c r="H1" s="24"/>
      <c r="I1" s="24"/>
    </row>
    <row r="2" spans="1:13">
      <c r="A2" s="18" t="s">
        <v>81</v>
      </c>
      <c r="B2" s="23" t="s">
        <v>118</v>
      </c>
      <c r="C2" s="23" t="s">
        <v>119</v>
      </c>
      <c r="D2" s="18" t="s">
        <v>120</v>
      </c>
      <c r="E2" s="18" t="s">
        <v>121</v>
      </c>
      <c r="F2" s="18" t="s">
        <v>87</v>
      </c>
      <c r="G2" s="23" t="s">
        <v>82</v>
      </c>
      <c r="H2" s="23" t="s">
        <v>83</v>
      </c>
      <c r="I2" s="23" t="s">
        <v>84</v>
      </c>
    </row>
    <row r="3" spans="1:13">
      <c r="A3" t="s">
        <v>18</v>
      </c>
      <c r="B3" s="1">
        <v>6</v>
      </c>
      <c r="C3">
        <v>0.75</v>
      </c>
      <c r="D3">
        <f>C3*16</f>
        <v>12</v>
      </c>
      <c r="E3" s="3">
        <f t="shared" ref="E3:E23" si="0">D3/F3</f>
        <v>36.090225563909776</v>
      </c>
      <c r="F3">
        <f t="shared" ref="F3:F17" si="1">G3/4</f>
        <v>0.33250000000000002</v>
      </c>
      <c r="G3">
        <v>1.33</v>
      </c>
      <c r="H3" t="s">
        <v>85</v>
      </c>
    </row>
    <row r="4" spans="1:13">
      <c r="A4" t="s">
        <v>25</v>
      </c>
      <c r="B4" s="1">
        <v>3</v>
      </c>
      <c r="C4">
        <v>0.625</v>
      </c>
      <c r="D4">
        <f t="shared" ref="D4:D23" si="2">C4*16</f>
        <v>10</v>
      </c>
      <c r="E4" s="3">
        <f t="shared" si="0"/>
        <v>10.638297872340425</v>
      </c>
      <c r="F4">
        <f t="shared" si="1"/>
        <v>0.94</v>
      </c>
      <c r="G4">
        <v>3.76</v>
      </c>
      <c r="H4">
        <v>4.25</v>
      </c>
      <c r="I4">
        <v>12.75</v>
      </c>
      <c r="M4" s="12"/>
    </row>
    <row r="5" spans="1:13">
      <c r="A5" t="s">
        <v>50</v>
      </c>
      <c r="B5" s="1">
        <v>12</v>
      </c>
      <c r="C5">
        <v>0.5625</v>
      </c>
      <c r="D5">
        <f t="shared" si="2"/>
        <v>9</v>
      </c>
      <c r="E5" s="3">
        <f t="shared" si="0"/>
        <v>10.588235294117647</v>
      </c>
      <c r="F5">
        <f t="shared" si="1"/>
        <v>0.85</v>
      </c>
      <c r="G5">
        <v>3.4</v>
      </c>
      <c r="H5">
        <v>46.67</v>
      </c>
      <c r="I5">
        <v>140</v>
      </c>
      <c r="M5" s="12"/>
    </row>
    <row r="6" spans="1:13">
      <c r="A6" t="s">
        <v>22</v>
      </c>
      <c r="B6" s="1">
        <v>15</v>
      </c>
      <c r="C6">
        <v>4</v>
      </c>
      <c r="D6">
        <f t="shared" si="2"/>
        <v>64</v>
      </c>
      <c r="E6" s="3">
        <f t="shared" si="0"/>
        <v>75.739644970414204</v>
      </c>
      <c r="F6">
        <f t="shared" si="1"/>
        <v>0.84499999999999997</v>
      </c>
      <c r="G6">
        <v>3.38</v>
      </c>
      <c r="H6">
        <v>4.7300000000000004</v>
      </c>
      <c r="I6">
        <v>14.2</v>
      </c>
      <c r="M6" s="12"/>
    </row>
    <row r="7" spans="1:13">
      <c r="A7" t="s">
        <v>48</v>
      </c>
      <c r="B7" s="1">
        <v>11</v>
      </c>
      <c r="C7">
        <v>2</v>
      </c>
      <c r="D7">
        <f t="shared" si="2"/>
        <v>32</v>
      </c>
      <c r="E7" s="3">
        <f t="shared" si="0"/>
        <v>75.294117647058826</v>
      </c>
      <c r="F7">
        <f t="shared" si="1"/>
        <v>0.42499999999999999</v>
      </c>
      <c r="G7">
        <v>1.7</v>
      </c>
      <c r="H7">
        <v>9.42</v>
      </c>
      <c r="I7">
        <v>28.25</v>
      </c>
      <c r="M7" s="12"/>
    </row>
    <row r="8" spans="1:13">
      <c r="A8" t="s">
        <v>26</v>
      </c>
      <c r="B8" s="1">
        <v>14</v>
      </c>
      <c r="C8">
        <v>5</v>
      </c>
      <c r="D8">
        <f t="shared" si="2"/>
        <v>80</v>
      </c>
      <c r="E8" s="3">
        <f t="shared" si="0"/>
        <v>71.269487750556792</v>
      </c>
      <c r="F8">
        <f t="shared" si="1"/>
        <v>1.1225000000000001</v>
      </c>
      <c r="G8">
        <v>4.49</v>
      </c>
      <c r="H8">
        <v>3.57</v>
      </c>
      <c r="I8">
        <v>10.7</v>
      </c>
      <c r="M8" s="12"/>
    </row>
    <row r="9" spans="1:13">
      <c r="A9" t="s">
        <v>27</v>
      </c>
      <c r="B9" s="1">
        <v>12</v>
      </c>
      <c r="C9">
        <v>4</v>
      </c>
      <c r="D9">
        <f t="shared" si="2"/>
        <v>64</v>
      </c>
      <c r="E9" s="3">
        <f t="shared" si="0"/>
        <v>68.266666666666666</v>
      </c>
      <c r="F9">
        <f t="shared" si="1"/>
        <v>0.9375</v>
      </c>
      <c r="G9">
        <v>3.75</v>
      </c>
      <c r="H9">
        <v>4.2699999999999996</v>
      </c>
      <c r="I9">
        <v>12.8</v>
      </c>
      <c r="M9" s="12"/>
    </row>
    <row r="10" spans="1:13">
      <c r="A10" t="s">
        <v>23</v>
      </c>
      <c r="B10" s="1">
        <v>6</v>
      </c>
      <c r="C10">
        <v>1</v>
      </c>
      <c r="D10">
        <f t="shared" si="2"/>
        <v>16</v>
      </c>
      <c r="E10" s="3">
        <f t="shared" si="0"/>
        <v>37.42690058479532</v>
      </c>
      <c r="F10">
        <f t="shared" si="1"/>
        <v>0.42749999999999999</v>
      </c>
      <c r="G10">
        <v>1.71</v>
      </c>
      <c r="H10">
        <v>9.33</v>
      </c>
      <c r="I10">
        <v>28</v>
      </c>
      <c r="M10" s="12"/>
    </row>
    <row r="11" spans="1:13">
      <c r="A11" t="s">
        <v>86</v>
      </c>
      <c r="B11" s="1">
        <v>16</v>
      </c>
      <c r="C11">
        <v>5</v>
      </c>
      <c r="D11">
        <f t="shared" si="2"/>
        <v>80</v>
      </c>
      <c r="E11" s="3">
        <f t="shared" si="0"/>
        <v>83.333333333333343</v>
      </c>
      <c r="F11">
        <f t="shared" si="1"/>
        <v>0.96</v>
      </c>
      <c r="G11">
        <v>3.84</v>
      </c>
      <c r="H11">
        <v>4.17</v>
      </c>
      <c r="I11">
        <v>12.5</v>
      </c>
      <c r="M11" s="12"/>
    </row>
    <row r="12" spans="1:13">
      <c r="A12" t="s">
        <v>47</v>
      </c>
      <c r="B12" s="1">
        <v>7</v>
      </c>
      <c r="C12">
        <v>0.75</v>
      </c>
      <c r="D12">
        <f t="shared" si="2"/>
        <v>12</v>
      </c>
      <c r="E12" s="3">
        <f t="shared" si="0"/>
        <v>69.565217391304358</v>
      </c>
      <c r="F12">
        <f t="shared" si="1"/>
        <v>0.17249999999999999</v>
      </c>
      <c r="G12">
        <v>0.69</v>
      </c>
      <c r="H12">
        <v>23.33</v>
      </c>
      <c r="I12">
        <v>70</v>
      </c>
      <c r="M12" s="12"/>
    </row>
    <row r="13" spans="1:13">
      <c r="A13" t="s">
        <v>28</v>
      </c>
      <c r="B13" s="1">
        <v>18</v>
      </c>
      <c r="C13">
        <v>5</v>
      </c>
      <c r="D13">
        <f t="shared" si="2"/>
        <v>80</v>
      </c>
      <c r="E13" s="3">
        <f t="shared" si="0"/>
        <v>80</v>
      </c>
      <c r="F13">
        <f t="shared" si="1"/>
        <v>1</v>
      </c>
      <c r="G13">
        <v>4</v>
      </c>
      <c r="H13">
        <v>4</v>
      </c>
      <c r="I13">
        <v>12</v>
      </c>
      <c r="M13" s="12"/>
    </row>
    <row r="14" spans="1:13">
      <c r="A14" t="s">
        <v>24</v>
      </c>
      <c r="B14" s="1">
        <v>7</v>
      </c>
      <c r="C14">
        <v>7</v>
      </c>
      <c r="D14">
        <f t="shared" si="2"/>
        <v>112</v>
      </c>
      <c r="E14" s="3">
        <f t="shared" si="0"/>
        <v>51.317296678121416</v>
      </c>
      <c r="F14">
        <f t="shared" si="1"/>
        <v>2.1825000000000001</v>
      </c>
      <c r="G14">
        <v>8.73</v>
      </c>
      <c r="H14">
        <v>1.83</v>
      </c>
      <c r="I14">
        <v>5.5</v>
      </c>
      <c r="M14" s="12"/>
    </row>
    <row r="15" spans="1:13">
      <c r="A15" t="s">
        <v>108</v>
      </c>
      <c r="B15" s="1">
        <v>25</v>
      </c>
      <c r="C15">
        <v>24</v>
      </c>
      <c r="D15">
        <f t="shared" si="2"/>
        <v>384</v>
      </c>
      <c r="E15" s="3">
        <f t="shared" si="0"/>
        <v>167.86885245901638</v>
      </c>
      <c r="F15">
        <f t="shared" si="1"/>
        <v>2.2875000000000001</v>
      </c>
      <c r="G15">
        <v>9.15</v>
      </c>
      <c r="H15">
        <v>1.5</v>
      </c>
      <c r="I15">
        <v>4.5</v>
      </c>
      <c r="M15" s="12"/>
    </row>
    <row r="16" spans="1:13">
      <c r="A16" t="s">
        <v>49</v>
      </c>
      <c r="B16" s="1">
        <v>13</v>
      </c>
      <c r="C16">
        <v>4</v>
      </c>
      <c r="D16">
        <f t="shared" si="2"/>
        <v>64</v>
      </c>
      <c r="E16" s="3">
        <f t="shared" si="0"/>
        <v>149.70760233918128</v>
      </c>
      <c r="F16">
        <f t="shared" si="1"/>
        <v>0.42749999999999999</v>
      </c>
      <c r="G16">
        <v>1.71</v>
      </c>
      <c r="H16">
        <v>9.33</v>
      </c>
      <c r="I16">
        <v>28</v>
      </c>
    </row>
    <row r="17" spans="1:13">
      <c r="A17" t="s">
        <v>46</v>
      </c>
      <c r="B17" s="1">
        <v>30</v>
      </c>
      <c r="C17">
        <v>5</v>
      </c>
      <c r="D17">
        <f t="shared" si="2"/>
        <v>80</v>
      </c>
      <c r="E17" s="3">
        <f t="shared" si="0"/>
        <v>75.294117647058826</v>
      </c>
      <c r="F17">
        <f t="shared" si="1"/>
        <v>1.0625</v>
      </c>
      <c r="G17">
        <v>4.25</v>
      </c>
      <c r="M17" s="12"/>
    </row>
    <row r="18" spans="1:13">
      <c r="A18" t="s">
        <v>153</v>
      </c>
      <c r="B18" s="1">
        <v>7</v>
      </c>
      <c r="C18">
        <v>1.5</v>
      </c>
      <c r="D18">
        <f t="shared" si="2"/>
        <v>24</v>
      </c>
      <c r="E18" s="3">
        <f t="shared" si="0"/>
        <v>41.921397379912662</v>
      </c>
      <c r="F18">
        <f t="shared" ref="F18:F23" si="3">G18/4</f>
        <v>0.57250000000000001</v>
      </c>
      <c r="G18">
        <v>2.29</v>
      </c>
      <c r="H18">
        <v>7</v>
      </c>
      <c r="I18">
        <v>21</v>
      </c>
      <c r="M18" s="12"/>
    </row>
    <row r="19" spans="1:13">
      <c r="A19" t="s">
        <v>154</v>
      </c>
      <c r="B19" s="1">
        <v>1.59</v>
      </c>
      <c r="C19">
        <f>3/16</f>
        <v>0.1875</v>
      </c>
      <c r="D19">
        <f t="shared" si="2"/>
        <v>3</v>
      </c>
      <c r="E19" s="3">
        <f t="shared" si="0"/>
        <v>6.7415730337078648</v>
      </c>
      <c r="F19">
        <f t="shared" si="3"/>
        <v>0.44500000000000001</v>
      </c>
      <c r="G19">
        <v>1.78</v>
      </c>
      <c r="H19">
        <v>9</v>
      </c>
      <c r="I19">
        <v>27</v>
      </c>
    </row>
    <row r="20" spans="1:13">
      <c r="A20" t="s">
        <v>155</v>
      </c>
      <c r="B20" s="1">
        <v>1.64</v>
      </c>
      <c r="C20">
        <f>6/16</f>
        <v>0.375</v>
      </c>
      <c r="D20">
        <f t="shared" si="2"/>
        <v>6</v>
      </c>
      <c r="E20" s="3">
        <f t="shared" si="0"/>
        <v>16.551724137931036</v>
      </c>
      <c r="F20">
        <f t="shared" si="3"/>
        <v>0.36249999999999999</v>
      </c>
      <c r="G20">
        <v>1.45</v>
      </c>
      <c r="H20">
        <v>11</v>
      </c>
      <c r="I20">
        <v>33</v>
      </c>
    </row>
    <row r="21" spans="1:13">
      <c r="A21" t="s">
        <v>156</v>
      </c>
      <c r="B21" s="1">
        <v>1.49</v>
      </c>
      <c r="C21">
        <f>2/16</f>
        <v>0.125</v>
      </c>
      <c r="D21">
        <f t="shared" si="2"/>
        <v>2</v>
      </c>
      <c r="E21" s="3">
        <f t="shared" si="0"/>
        <v>5.6737588652482271</v>
      </c>
      <c r="F21">
        <f t="shared" si="3"/>
        <v>0.35249999999999998</v>
      </c>
      <c r="G21">
        <v>1.41</v>
      </c>
      <c r="H21">
        <v>11.33</v>
      </c>
      <c r="I21">
        <v>34</v>
      </c>
    </row>
    <row r="22" spans="1:13">
      <c r="A22" t="s">
        <v>157</v>
      </c>
      <c r="B22" s="1">
        <v>3.81</v>
      </c>
      <c r="C22">
        <v>0.5</v>
      </c>
      <c r="D22">
        <f t="shared" si="2"/>
        <v>8</v>
      </c>
      <c r="E22" s="3">
        <f t="shared" si="0"/>
        <v>8.2687338501291983</v>
      </c>
      <c r="F22">
        <f t="shared" si="3"/>
        <v>0.96750000000000003</v>
      </c>
      <c r="G22">
        <v>3.87</v>
      </c>
      <c r="H22">
        <v>4.13</v>
      </c>
      <c r="I22">
        <v>12.4</v>
      </c>
    </row>
    <row r="23" spans="1:13">
      <c r="A23" t="s">
        <v>158</v>
      </c>
      <c r="B23" s="1">
        <v>13</v>
      </c>
      <c r="C23">
        <v>1.75</v>
      </c>
      <c r="D23">
        <f t="shared" si="2"/>
        <v>28</v>
      </c>
      <c r="E23" s="3">
        <f t="shared" si="0"/>
        <v>65.497076023391813</v>
      </c>
      <c r="F23">
        <f t="shared" si="3"/>
        <v>0.42749999999999999</v>
      </c>
      <c r="G23">
        <v>1.71</v>
      </c>
      <c r="H23">
        <v>9.33</v>
      </c>
      <c r="I23">
        <v>28</v>
      </c>
    </row>
    <row r="24" spans="1:13">
      <c r="B24" s="1"/>
    </row>
    <row r="25" spans="1:13">
      <c r="B25" s="1"/>
    </row>
  </sheetData>
  <autoFilter ref="A2:I14" xr:uid="{1EADE3F1-CCA8-484B-8076-1DAB689449B1}"/>
  <sortState xmlns:xlrd2="http://schemas.microsoft.com/office/spreadsheetml/2017/richdata2" ref="K4:N14">
    <sortCondition ref="K3:K14"/>
  </sortState>
  <hyperlinks>
    <hyperlink ref="B1" r:id="rId1" xr:uid="{95ED6AAF-88CE-E649-AB5F-8FD2FF9B9136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4CA9-E4DB-BA44-85E0-6EA5F3672B2D}">
  <dimension ref="A2:Q22"/>
  <sheetViews>
    <sheetView zoomScale="110" zoomScaleNormal="110" workbookViewId="0">
      <selection activeCell="N33" sqref="N33"/>
    </sheetView>
  </sheetViews>
  <sheetFormatPr baseColWidth="10" defaultRowHeight="15"/>
  <cols>
    <col min="3" max="3" width="33.6640625" bestFit="1" customWidth="1"/>
    <col min="11" max="11" width="12.5" bestFit="1" customWidth="1"/>
    <col min="17" max="17" width="13.5" bestFit="1" customWidth="1"/>
  </cols>
  <sheetData>
    <row r="2" spans="1:17">
      <c r="D2" s="119">
        <v>44242</v>
      </c>
      <c r="E2" s="119">
        <v>44256</v>
      </c>
      <c r="F2" s="119">
        <v>44270</v>
      </c>
      <c r="G2" s="119">
        <v>44284</v>
      </c>
      <c r="H2" s="119">
        <v>44298</v>
      </c>
      <c r="I2" s="119">
        <v>44312</v>
      </c>
      <c r="J2" s="119">
        <v>44326</v>
      </c>
      <c r="K2" s="119">
        <v>44340</v>
      </c>
      <c r="L2" s="119">
        <v>44354</v>
      </c>
      <c r="M2" s="119">
        <v>44368</v>
      </c>
      <c r="N2" s="119">
        <v>44382</v>
      </c>
      <c r="O2" s="119">
        <v>44396</v>
      </c>
      <c r="P2" s="9">
        <v>44410</v>
      </c>
      <c r="Q2" t="s">
        <v>287</v>
      </c>
    </row>
    <row r="3" spans="1:17">
      <c r="A3">
        <v>1</v>
      </c>
      <c r="B3" t="s">
        <v>307</v>
      </c>
      <c r="C3" s="118" t="s">
        <v>283</v>
      </c>
      <c r="D3" s="117"/>
      <c r="E3" s="118" t="s">
        <v>301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Q3" t="s">
        <v>289</v>
      </c>
    </row>
    <row r="4" spans="1:17">
      <c r="A4">
        <v>2</v>
      </c>
      <c r="B4" t="s">
        <v>307</v>
      </c>
      <c r="C4" t="s">
        <v>366</v>
      </c>
      <c r="F4" t="s">
        <v>301</v>
      </c>
      <c r="Q4" t="s">
        <v>282</v>
      </c>
    </row>
    <row r="5" spans="1:17">
      <c r="A5">
        <v>3</v>
      </c>
      <c r="B5" t="s">
        <v>308</v>
      </c>
      <c r="C5" s="118" t="s">
        <v>312</v>
      </c>
      <c r="D5" s="117"/>
      <c r="E5" s="117"/>
      <c r="F5" s="118" t="s">
        <v>301</v>
      </c>
      <c r="G5" s="117"/>
      <c r="H5" s="117"/>
      <c r="I5" s="117"/>
      <c r="J5" s="117"/>
      <c r="K5" s="117"/>
      <c r="L5" s="117"/>
      <c r="M5" s="117"/>
      <c r="N5" s="117"/>
      <c r="O5" s="117"/>
      <c r="Q5" t="s">
        <v>288</v>
      </c>
    </row>
    <row r="6" spans="1:17">
      <c r="A6">
        <v>4</v>
      </c>
      <c r="B6" t="s">
        <v>308</v>
      </c>
      <c r="C6" t="s">
        <v>313</v>
      </c>
      <c r="F6" t="s">
        <v>301</v>
      </c>
    </row>
    <row r="7" spans="1:17">
      <c r="A7">
        <v>5</v>
      </c>
      <c r="B7" t="s">
        <v>309</v>
      </c>
      <c r="C7" s="118" t="s">
        <v>286</v>
      </c>
      <c r="D7" s="117"/>
      <c r="E7" s="117"/>
      <c r="F7" s="118" t="s">
        <v>301</v>
      </c>
      <c r="G7" s="117"/>
      <c r="H7" s="117"/>
      <c r="I7" s="117"/>
      <c r="J7" s="117"/>
      <c r="K7" s="117"/>
      <c r="L7" s="117"/>
      <c r="M7" s="117"/>
      <c r="N7" s="117"/>
      <c r="O7" s="117"/>
    </row>
    <row r="8" spans="1:17">
      <c r="A8">
        <v>6</v>
      </c>
      <c r="B8" t="s">
        <v>308</v>
      </c>
      <c r="C8" t="s">
        <v>290</v>
      </c>
      <c r="G8" t="s">
        <v>301</v>
      </c>
    </row>
    <row r="9" spans="1:17">
      <c r="A9">
        <v>7</v>
      </c>
      <c r="B9" t="s">
        <v>308</v>
      </c>
      <c r="C9" s="118" t="s">
        <v>263</v>
      </c>
      <c r="D9" s="117"/>
      <c r="E9" s="117"/>
      <c r="F9" s="117"/>
      <c r="G9" s="117"/>
      <c r="H9" s="118" t="s">
        <v>301</v>
      </c>
      <c r="I9" s="117"/>
      <c r="J9" s="117"/>
      <c r="K9" s="117"/>
      <c r="L9" s="117"/>
      <c r="M9" s="117"/>
      <c r="N9" s="117"/>
      <c r="O9" s="117"/>
    </row>
    <row r="10" spans="1:17">
      <c r="A10">
        <v>8</v>
      </c>
      <c r="B10" t="s">
        <v>308</v>
      </c>
      <c r="C10" t="s">
        <v>297</v>
      </c>
      <c r="H10" t="s">
        <v>301</v>
      </c>
    </row>
    <row r="11" spans="1:17">
      <c r="A11">
        <v>9</v>
      </c>
      <c r="C11" s="118" t="s">
        <v>295</v>
      </c>
      <c r="D11" s="117"/>
      <c r="E11" s="117"/>
      <c r="F11" s="117"/>
      <c r="G11" s="117"/>
      <c r="H11" s="117"/>
      <c r="I11" s="118" t="s">
        <v>301</v>
      </c>
      <c r="J11" s="117"/>
      <c r="K11" s="117"/>
      <c r="L11" s="117"/>
      <c r="M11" s="117"/>
      <c r="N11" s="117"/>
      <c r="O11" s="117"/>
    </row>
    <row r="12" spans="1:17">
      <c r="A12">
        <v>10</v>
      </c>
      <c r="C12" t="s">
        <v>291</v>
      </c>
    </row>
    <row r="13" spans="1:17">
      <c r="A13">
        <v>11</v>
      </c>
      <c r="C13" s="118" t="s">
        <v>284</v>
      </c>
      <c r="D13" s="117"/>
      <c r="E13" s="117"/>
      <c r="F13" s="117"/>
      <c r="G13" s="117"/>
      <c r="H13" s="117"/>
      <c r="I13" s="118" t="s">
        <v>301</v>
      </c>
      <c r="J13" s="117"/>
      <c r="K13" s="117"/>
      <c r="L13" s="117"/>
      <c r="M13" s="117"/>
      <c r="N13" s="117"/>
      <c r="O13" s="117"/>
    </row>
    <row r="14" spans="1:17">
      <c r="A14">
        <v>12</v>
      </c>
      <c r="C14" t="s">
        <v>311</v>
      </c>
      <c r="J14" t="s">
        <v>301</v>
      </c>
    </row>
    <row r="15" spans="1:17">
      <c r="A15">
        <v>13</v>
      </c>
      <c r="C15" s="118" t="s">
        <v>298</v>
      </c>
      <c r="D15" s="117"/>
      <c r="E15" s="117"/>
      <c r="F15" s="117"/>
      <c r="G15" s="117"/>
      <c r="H15" s="117"/>
      <c r="I15" s="117"/>
      <c r="J15" s="118" t="s">
        <v>301</v>
      </c>
      <c r="K15" s="117"/>
      <c r="L15" s="117"/>
      <c r="M15" s="117"/>
      <c r="N15" s="117"/>
      <c r="O15" s="117"/>
    </row>
    <row r="16" spans="1:17">
      <c r="A16">
        <v>14</v>
      </c>
      <c r="C16" s="60" t="s">
        <v>292</v>
      </c>
      <c r="J16" t="s">
        <v>304</v>
      </c>
    </row>
    <row r="17" spans="1:15">
      <c r="A17">
        <v>15</v>
      </c>
      <c r="C17" s="118" t="s">
        <v>294</v>
      </c>
      <c r="D17" s="117"/>
      <c r="E17" s="117"/>
      <c r="F17" s="117"/>
      <c r="G17" s="117"/>
      <c r="H17" s="117"/>
      <c r="I17" s="117"/>
      <c r="J17" s="118" t="s">
        <v>303</v>
      </c>
      <c r="K17" s="117"/>
      <c r="L17" s="118" t="s">
        <v>301</v>
      </c>
      <c r="M17" s="117"/>
      <c r="N17" s="117"/>
      <c r="O17" s="117"/>
    </row>
    <row r="18" spans="1:15">
      <c r="A18">
        <v>16</v>
      </c>
      <c r="C18" s="60" t="s">
        <v>293</v>
      </c>
      <c r="K18" t="s">
        <v>303</v>
      </c>
    </row>
    <row r="19" spans="1:15">
      <c r="A19">
        <v>17</v>
      </c>
      <c r="C19" s="118" t="s">
        <v>285</v>
      </c>
      <c r="D19" s="117"/>
      <c r="E19" s="117"/>
      <c r="F19" s="117"/>
      <c r="G19" s="117"/>
      <c r="H19" s="118" t="s">
        <v>303</v>
      </c>
      <c r="I19" s="117"/>
      <c r="J19" s="117"/>
      <c r="K19" s="118" t="s">
        <v>301</v>
      </c>
      <c r="L19" s="117"/>
      <c r="M19" s="117"/>
      <c r="N19" s="117"/>
      <c r="O19" s="117"/>
    </row>
    <row r="20" spans="1:15">
      <c r="A20">
        <v>18</v>
      </c>
      <c r="C20" t="s">
        <v>267</v>
      </c>
      <c r="K20" t="s">
        <v>301</v>
      </c>
    </row>
    <row r="21" spans="1:15">
      <c r="A21">
        <v>19</v>
      </c>
      <c r="C21" s="118" t="s">
        <v>299</v>
      </c>
      <c r="D21" s="117"/>
      <c r="E21" s="117"/>
      <c r="F21" s="117"/>
      <c r="G21" s="117"/>
      <c r="H21" s="117"/>
      <c r="I21" s="117"/>
      <c r="J21" s="117"/>
      <c r="K21" s="118" t="s">
        <v>305</v>
      </c>
      <c r="L21" s="117"/>
      <c r="M21" s="118" t="s">
        <v>306</v>
      </c>
      <c r="N21" s="117"/>
      <c r="O21" s="117"/>
    </row>
    <row r="22" spans="1:15">
      <c r="A22">
        <v>20</v>
      </c>
      <c r="C22" t="s">
        <v>296</v>
      </c>
      <c r="M22" t="s">
        <v>302</v>
      </c>
    </row>
  </sheetData>
  <sortState xmlns:xlrd2="http://schemas.microsoft.com/office/spreadsheetml/2017/richdata2" ref="A3:C22">
    <sortCondition ref="A3:A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4943-9067-CC4B-BC06-F47191E8B1AF}">
  <sheetPr>
    <tabColor rgb="FFFF0000"/>
  </sheetPr>
  <dimension ref="A1:G27"/>
  <sheetViews>
    <sheetView topLeftCell="A3" zoomScale="98" workbookViewId="0">
      <selection activeCell="E31" sqref="E31"/>
    </sheetView>
  </sheetViews>
  <sheetFormatPr baseColWidth="10" defaultRowHeight="15"/>
  <cols>
    <col min="1" max="1" width="23.6640625" bestFit="1" customWidth="1"/>
    <col min="2" max="7" width="11.33203125" style="1" bestFit="1" customWidth="1"/>
  </cols>
  <sheetData>
    <row r="1" spans="1:7">
      <c r="A1" s="96" t="s">
        <v>364</v>
      </c>
      <c r="B1" s="1">
        <f>'Cash Flow'!B3</f>
        <v>31805</v>
      </c>
      <c r="C1" s="96" t="s">
        <v>363</v>
      </c>
      <c r="D1" s="127" t="s">
        <v>365</v>
      </c>
      <c r="E1" s="127"/>
      <c r="F1" s="1">
        <f>SUM(B26:F26)-B1</f>
        <v>25569.468628233633</v>
      </c>
    </row>
    <row r="3" spans="1:7">
      <c r="A3" s="96" t="s">
        <v>328</v>
      </c>
      <c r="B3" s="99" t="s">
        <v>332</v>
      </c>
      <c r="C3" s="99" t="s">
        <v>333</v>
      </c>
      <c r="D3" s="99" t="s">
        <v>334</v>
      </c>
      <c r="E3" s="99" t="s">
        <v>335</v>
      </c>
      <c r="F3" s="99" t="s">
        <v>336</v>
      </c>
      <c r="G3" s="99" t="s">
        <v>337</v>
      </c>
    </row>
    <row r="4" spans="1:7">
      <c r="A4" s="97" t="s">
        <v>354</v>
      </c>
      <c r="B4" s="1">
        <f>VLOOKUP($A4,'Cash Flow'!$A:$G,2,FALSE)</f>
        <v>18885.75</v>
      </c>
      <c r="C4" s="1">
        <f>VLOOKUP($A4,'Cash Flow'!$A:$G,3,FALSE)</f>
        <v>19468.912499999999</v>
      </c>
      <c r="D4" s="1">
        <f>VLOOKUP($A4,'Cash Flow'!$A:$G,4,FALSE)</f>
        <v>20087.352500000001</v>
      </c>
      <c r="E4" s="1">
        <f>VLOOKUP($A4,'Cash Flow'!$A:$G,5,FALSE)</f>
        <v>20705.7925</v>
      </c>
      <c r="F4" s="1">
        <f>VLOOKUP($A4,'Cash Flow'!$A:$G,6,FALSE)</f>
        <v>21358.48</v>
      </c>
      <c r="G4" s="1">
        <f>VLOOKUP($A4,'Cash Flow'!$A:$G,7,FALSE)</f>
        <v>22011.1675</v>
      </c>
    </row>
    <row r="5" spans="1:7">
      <c r="A5" s="54" t="s">
        <v>331</v>
      </c>
      <c r="B5" s="101"/>
      <c r="C5" s="101"/>
      <c r="D5" s="101"/>
      <c r="E5" s="101"/>
      <c r="F5" s="101"/>
      <c r="G5" s="101"/>
    </row>
    <row r="6" spans="1:7">
      <c r="A6" s="98" t="s">
        <v>329</v>
      </c>
      <c r="B6" s="1">
        <f>B4-B5</f>
        <v>18885.75</v>
      </c>
      <c r="C6" s="1">
        <f t="shared" ref="C6:G6" si="0">C4-C5</f>
        <v>19468.912499999999</v>
      </c>
      <c r="D6" s="1">
        <f t="shared" si="0"/>
        <v>20087.352500000001</v>
      </c>
      <c r="E6" s="1">
        <f t="shared" si="0"/>
        <v>20705.7925</v>
      </c>
      <c r="F6" s="1">
        <f t="shared" si="0"/>
        <v>21358.48</v>
      </c>
      <c r="G6" s="1">
        <f t="shared" si="0"/>
        <v>22011.1675</v>
      </c>
    </row>
    <row r="7" spans="1:7">
      <c r="A7" s="96" t="s">
        <v>216</v>
      </c>
      <c r="B7" s="99" t="s">
        <v>332</v>
      </c>
      <c r="C7" s="99" t="s">
        <v>333</v>
      </c>
      <c r="D7" s="99" t="s">
        <v>334</v>
      </c>
      <c r="E7" s="99" t="s">
        <v>335</v>
      </c>
      <c r="F7" s="99" t="s">
        <v>336</v>
      </c>
      <c r="G7" s="99" t="s">
        <v>337</v>
      </c>
    </row>
    <row r="8" spans="1:7">
      <c r="A8" s="97" t="s">
        <v>330</v>
      </c>
      <c r="B8" s="101">
        <f>VLOOKUP($A8,'Cash Flow'!$A:$G,2,FALSE)</f>
        <v>3304.2070801711311</v>
      </c>
      <c r="C8" s="101">
        <f>VLOOKUP($A8,'Cash Flow'!$A:$G,3,FALSE)</f>
        <v>3410.1372925762648</v>
      </c>
      <c r="D8" s="101">
        <f>VLOOKUP($A8,'Cash Flow'!$A:$G,4,FALSE)</f>
        <v>3521.6025858084076</v>
      </c>
      <c r="E8" s="101">
        <f>VLOOKUP($A8,'Cash Flow'!$A:$G,5,FALSE)</f>
        <v>3633.0678790405509</v>
      </c>
      <c r="F8" s="101">
        <f>VLOOKUP($A8,'Cash Flow'!$A:$G,6,FALSE)</f>
        <v>3749.708919766369</v>
      </c>
      <c r="G8" s="101">
        <f>VLOOKUP($A8,'Cash Flow'!$A:$G,7,FALSE)</f>
        <v>3866.3499604921872</v>
      </c>
    </row>
    <row r="10" spans="1:7">
      <c r="A10" s="97" t="s">
        <v>221</v>
      </c>
    </row>
    <row r="11" spans="1:7">
      <c r="A11" t="s">
        <v>222</v>
      </c>
      <c r="B11" s="1">
        <f>VLOOKUP($A11,'Cash Flow'!$A:$G,2,FALSE)</f>
        <v>322.61904761904765</v>
      </c>
      <c r="C11" s="1">
        <f>VLOOKUP($A11,'Cash Flow'!$A:$G,3,FALSE)</f>
        <v>322.61904761904765</v>
      </c>
      <c r="D11" s="1">
        <f>VLOOKUP($A11,'Cash Flow'!$A:$G,4,FALSE)</f>
        <v>322.61904761904765</v>
      </c>
      <c r="E11" s="1">
        <f>VLOOKUP($A11,'Cash Flow'!$A:$G,5,FALSE)</f>
        <v>322.61904761904765</v>
      </c>
      <c r="F11" s="1">
        <f>VLOOKUP($A11,'Cash Flow'!$A:$G,6,FALSE)</f>
        <v>322.61904761904765</v>
      </c>
      <c r="G11" s="1">
        <f>VLOOKUP($A11,'Cash Flow'!$A:$G,7,FALSE)</f>
        <v>322.61904761904765</v>
      </c>
    </row>
    <row r="12" spans="1:7">
      <c r="A12" t="s">
        <v>219</v>
      </c>
      <c r="B12" s="1">
        <f>VLOOKUP($A12,'Cash Flow'!$A:$G,2,FALSE)</f>
        <v>800</v>
      </c>
      <c r="C12" s="1">
        <f>VLOOKUP($A12,'Cash Flow'!$A:$G,3,FALSE)</f>
        <v>800</v>
      </c>
      <c r="D12" s="1">
        <f>VLOOKUP($A12,'Cash Flow'!$A:$G,4,FALSE)</f>
        <v>800</v>
      </c>
      <c r="E12" s="1">
        <f>VLOOKUP($A12,'Cash Flow'!$A:$G,5,FALSE)</f>
        <v>800</v>
      </c>
      <c r="F12" s="1">
        <f>VLOOKUP($A12,'Cash Flow'!$A:$G,6,FALSE)</f>
        <v>800</v>
      </c>
      <c r="G12" s="1">
        <f>VLOOKUP($A12,'Cash Flow'!$A:$G,7,FALSE)</f>
        <v>800</v>
      </c>
    </row>
    <row r="13" spans="1:7">
      <c r="A13" t="s">
        <v>218</v>
      </c>
      <c r="B13" s="1">
        <f>VLOOKUP($A13,'Cash Flow'!$A:$G,2,FALSE)</f>
        <v>75</v>
      </c>
      <c r="C13" s="1">
        <f>VLOOKUP($A13,'Cash Flow'!$A:$G,3,FALSE)</f>
        <v>75</v>
      </c>
      <c r="D13" s="1">
        <f>VLOOKUP($A13,'Cash Flow'!$A:$G,4,FALSE)</f>
        <v>75</v>
      </c>
      <c r="E13" s="1">
        <f>VLOOKUP($A13,'Cash Flow'!$A:$G,5,FALSE)</f>
        <v>75</v>
      </c>
      <c r="F13" s="1">
        <f>VLOOKUP($A13,'Cash Flow'!$A:$G,6,FALSE)</f>
        <v>75</v>
      </c>
      <c r="G13" s="1">
        <f>VLOOKUP($A13,'Cash Flow'!$A:$G,7,FALSE)</f>
        <v>75</v>
      </c>
    </row>
    <row r="14" spans="1:7">
      <c r="A14" t="s">
        <v>269</v>
      </c>
      <c r="B14" s="1">
        <f>VLOOKUP($A14,'Cash Flow'!$A:$G,2,FALSE)</f>
        <v>35</v>
      </c>
      <c r="C14" s="1">
        <f>VLOOKUP($A14,'Cash Flow'!$A:$G,3,FALSE)</f>
        <v>35</v>
      </c>
      <c r="D14" s="1">
        <f>VLOOKUP($A14,'Cash Flow'!$A:$G,4,FALSE)</f>
        <v>35</v>
      </c>
      <c r="E14" s="1">
        <f>VLOOKUP($A14,'Cash Flow'!$A:$G,5,FALSE)</f>
        <v>35</v>
      </c>
      <c r="F14" s="1">
        <f>VLOOKUP($A14,'Cash Flow'!$A:$G,6,FALSE)</f>
        <v>35</v>
      </c>
      <c r="G14" s="1">
        <f>VLOOKUP($A14,'Cash Flow'!$A:$G,7,FALSE)</f>
        <v>35</v>
      </c>
    </row>
    <row r="15" spans="1:7">
      <c r="A15" t="s">
        <v>378</v>
      </c>
      <c r="B15" s="1">
        <f>VLOOKUP($A15,'Cash Flow'!$A:$G,2,FALSE)</f>
        <v>425</v>
      </c>
      <c r="C15" s="1">
        <f>VLOOKUP($A15,'Cash Flow'!$A:$G,3,FALSE)</f>
        <v>437.75</v>
      </c>
      <c r="D15" s="1">
        <f>VLOOKUP($A15,'Cash Flow'!$A:$G,4,FALSE)</f>
        <v>450.88250000000005</v>
      </c>
      <c r="E15" s="1">
        <f>VLOOKUP($A15,'Cash Flow'!$A:$G,5,FALSE)</f>
        <v>464.408975</v>
      </c>
      <c r="F15" s="1">
        <f>VLOOKUP($A15,'Cash Flow'!$A:$G,6,FALSE)</f>
        <v>478.3412442500001</v>
      </c>
      <c r="G15" s="1">
        <f>VLOOKUP($A15,'Cash Flow'!$A:$G,7,FALSE)</f>
        <v>492.69148157749999</v>
      </c>
    </row>
    <row r="16" spans="1:7">
      <c r="A16" t="s">
        <v>261</v>
      </c>
      <c r="B16" s="1">
        <f>VLOOKUP($A16,'Cash Flow'!$A:$G,2,FALSE)</f>
        <v>200</v>
      </c>
      <c r="C16" s="1">
        <f>VLOOKUP($A16,'Cash Flow'!$A:$G,3,FALSE)</f>
        <v>200</v>
      </c>
      <c r="D16" s="1">
        <f>VLOOKUP($A16,'Cash Flow'!$A:$G,4,FALSE)</f>
        <v>200</v>
      </c>
      <c r="E16" s="1">
        <f>VLOOKUP($A16,'Cash Flow'!$A:$G,5,FALSE)</f>
        <v>200</v>
      </c>
      <c r="F16" s="1">
        <f>VLOOKUP($A16,'Cash Flow'!$A:$G,6,FALSE)</f>
        <v>200</v>
      </c>
      <c r="G16" s="1">
        <f>VLOOKUP($A16,'Cash Flow'!$A:$G,7,FALSE)</f>
        <v>200</v>
      </c>
    </row>
    <row r="17" spans="1:7">
      <c r="A17" t="s">
        <v>129</v>
      </c>
      <c r="B17" s="1">
        <f>VLOOKUP($A17,'Cash Flow'!$A:$G,2,FALSE)</f>
        <v>200</v>
      </c>
      <c r="C17" s="1">
        <f>VLOOKUP($A17,'Cash Flow'!$A:$G,3,FALSE)</f>
        <v>200</v>
      </c>
      <c r="D17" s="1">
        <f>VLOOKUP($A17,'Cash Flow'!$A:$G,4,FALSE)</f>
        <v>200</v>
      </c>
      <c r="E17" s="1">
        <f>VLOOKUP($A17,'Cash Flow'!$A:$G,5,FALSE)</f>
        <v>200</v>
      </c>
      <c r="F17" s="1">
        <f>VLOOKUP($A17,'Cash Flow'!$A:$G,6,FALSE)</f>
        <v>200</v>
      </c>
      <c r="G17" s="1">
        <f>VLOOKUP($A17,'Cash Flow'!$A:$G,7,FALSE)</f>
        <v>200</v>
      </c>
    </row>
    <row r="18" spans="1:7">
      <c r="A18" t="s">
        <v>131</v>
      </c>
      <c r="B18" s="1">
        <f>VLOOKUP($A18,'Cash Flow'!$A:$G,2,FALSE)</f>
        <v>150</v>
      </c>
      <c r="C18" s="1">
        <f>VLOOKUP($A18,'Cash Flow'!$A:$G,3,FALSE)</f>
        <v>150</v>
      </c>
      <c r="D18" s="1">
        <f>VLOOKUP($A18,'Cash Flow'!$A:$G,4,FALSE)</f>
        <v>150</v>
      </c>
      <c r="E18" s="1">
        <f>VLOOKUP($A18,'Cash Flow'!$A:$G,5,FALSE)</f>
        <v>150</v>
      </c>
      <c r="F18" s="1">
        <f>VLOOKUP($A18,'Cash Flow'!$A:$G,6,FALSE)</f>
        <v>150</v>
      </c>
      <c r="G18" s="1">
        <f>VLOOKUP($A18,'Cash Flow'!$A:$G,7,FALSE)</f>
        <v>150</v>
      </c>
    </row>
    <row r="19" spans="1:7" ht="16" thickBot="1">
      <c r="A19" s="112" t="s">
        <v>338</v>
      </c>
      <c r="B19" s="102">
        <f>SUM(B11:B18)</f>
        <v>2207.6190476190477</v>
      </c>
      <c r="C19" s="102">
        <f t="shared" ref="C19:G19" si="1">SUM(C11:C18)</f>
        <v>2220.3690476190477</v>
      </c>
      <c r="D19" s="102">
        <f t="shared" si="1"/>
        <v>2233.5015476190479</v>
      </c>
      <c r="E19" s="102">
        <f t="shared" si="1"/>
        <v>2247.028022619048</v>
      </c>
      <c r="F19" s="102">
        <f t="shared" si="1"/>
        <v>2260.960291869048</v>
      </c>
      <c r="G19" s="102">
        <f t="shared" si="1"/>
        <v>2275.3105291965476</v>
      </c>
    </row>
    <row r="20" spans="1:7" ht="16" thickBot="1">
      <c r="A20" s="87" t="s">
        <v>339</v>
      </c>
      <c r="B20" s="104">
        <f t="shared" ref="B20:G20" si="2">SUM(B19+B8)</f>
        <v>5511.8261277901784</v>
      </c>
      <c r="C20" s="104">
        <f t="shared" si="2"/>
        <v>5630.5063401953121</v>
      </c>
      <c r="D20" s="104">
        <f t="shared" si="2"/>
        <v>5755.104133427456</v>
      </c>
      <c r="E20" s="104">
        <f t="shared" si="2"/>
        <v>5880.0959016595989</v>
      </c>
      <c r="F20" s="104">
        <f t="shared" si="2"/>
        <v>6010.669211635417</v>
      </c>
      <c r="G20" s="104">
        <f t="shared" si="2"/>
        <v>6141.6604896887347</v>
      </c>
    </row>
    <row r="23" spans="1:7" ht="16" thickBot="1">
      <c r="A23" s="87" t="s">
        <v>340</v>
      </c>
      <c r="B23" s="104">
        <f t="shared" ref="B23:G23" si="3">B6-B20</f>
        <v>13373.923872209822</v>
      </c>
      <c r="C23" s="104">
        <f t="shared" si="3"/>
        <v>13838.406159804686</v>
      </c>
      <c r="D23" s="104">
        <f t="shared" si="3"/>
        <v>14332.248366572545</v>
      </c>
      <c r="E23" s="104">
        <f t="shared" si="3"/>
        <v>14825.696598340401</v>
      </c>
      <c r="F23" s="104">
        <f t="shared" si="3"/>
        <v>15347.810788364583</v>
      </c>
      <c r="G23" s="104">
        <f t="shared" si="3"/>
        <v>15869.507010311265</v>
      </c>
    </row>
    <row r="24" spans="1:7">
      <c r="A24" s="54" t="s">
        <v>341</v>
      </c>
      <c r="B24" s="101">
        <f>B23*0.2</f>
        <v>2674.7847744419646</v>
      </c>
      <c r="C24" s="101">
        <f t="shared" ref="C24:G24" si="4">C23*0.2</f>
        <v>2767.6812319609376</v>
      </c>
      <c r="D24" s="101">
        <f t="shared" si="4"/>
        <v>2866.4496733145093</v>
      </c>
      <c r="E24" s="101">
        <f t="shared" si="4"/>
        <v>2965.1393196680801</v>
      </c>
      <c r="F24" s="101">
        <f t="shared" si="4"/>
        <v>3069.5621576729168</v>
      </c>
      <c r="G24" s="101">
        <f t="shared" si="4"/>
        <v>3173.9014020622531</v>
      </c>
    </row>
    <row r="26" spans="1:7" ht="16" thickBot="1">
      <c r="A26" s="58" t="s">
        <v>342</v>
      </c>
      <c r="B26" s="103">
        <f>B23-B24</f>
        <v>10699.139097767857</v>
      </c>
      <c r="C26" s="103">
        <f t="shared" ref="C26:G26" si="5">C23-C24</f>
        <v>11070.724927843748</v>
      </c>
      <c r="D26" s="103">
        <f t="shared" si="5"/>
        <v>11465.798693258035</v>
      </c>
      <c r="E26" s="103">
        <f t="shared" si="5"/>
        <v>11860.557278672321</v>
      </c>
      <c r="F26" s="103">
        <f t="shared" si="5"/>
        <v>12278.248630691665</v>
      </c>
      <c r="G26" s="103">
        <f t="shared" si="5"/>
        <v>12695.605608249012</v>
      </c>
    </row>
    <row r="27" spans="1:7" ht="16" thickTop="1"/>
  </sheetData>
  <mergeCells count="1">
    <mergeCell ref="D1:E1"/>
  </mergeCells>
  <phoneticPr fontId="1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125D-54EE-B645-9FA8-E629A73F7C9E}">
  <sheetPr>
    <tabColor rgb="FFFF0000"/>
  </sheetPr>
  <dimension ref="A1:G37"/>
  <sheetViews>
    <sheetView zoomScale="90" zoomScaleNormal="90" workbookViewId="0">
      <selection activeCell="B3" sqref="B3"/>
    </sheetView>
  </sheetViews>
  <sheetFormatPr baseColWidth="10" defaultRowHeight="15"/>
  <cols>
    <col min="1" max="1" width="20.1640625" bestFit="1" customWidth="1"/>
    <col min="2" max="7" width="11" style="81" customWidth="1"/>
  </cols>
  <sheetData>
    <row r="1" spans="1:7">
      <c r="A1" s="6" t="s">
        <v>262</v>
      </c>
      <c r="B1" s="106">
        <v>40000</v>
      </c>
    </row>
    <row r="3" spans="1:7">
      <c r="A3" s="6" t="s">
        <v>351</v>
      </c>
      <c r="B3" s="106">
        <f>SUM(Expenses!C2:C27)</f>
        <v>31805</v>
      </c>
    </row>
    <row r="5" spans="1:7">
      <c r="B5"/>
      <c r="C5"/>
      <c r="D5"/>
      <c r="E5"/>
      <c r="F5"/>
      <c r="G5"/>
    </row>
    <row r="6" spans="1:7">
      <c r="A6" s="6" t="s">
        <v>233</v>
      </c>
      <c r="B6" s="99" t="s">
        <v>332</v>
      </c>
      <c r="C6" s="99" t="s">
        <v>333</v>
      </c>
      <c r="D6" s="99" t="s">
        <v>334</v>
      </c>
      <c r="E6" s="99" t="s">
        <v>335</v>
      </c>
      <c r="F6" s="99" t="s">
        <v>336</v>
      </c>
      <c r="G6" s="99" t="s">
        <v>337</v>
      </c>
    </row>
    <row r="7" spans="1:7">
      <c r="A7" t="s">
        <v>224</v>
      </c>
      <c r="B7" s="81">
        <f>'Sales Projections'!E35</f>
        <v>17025</v>
      </c>
      <c r="C7" s="81">
        <f>'Sales Projections'!F35</f>
        <v>17538.75</v>
      </c>
      <c r="D7" s="81">
        <f>'Sales Projections'!G35</f>
        <v>18086.75</v>
      </c>
      <c r="E7" s="81">
        <f>'Sales Projections'!H35</f>
        <v>18634.75</v>
      </c>
      <c r="F7" s="81">
        <f>'Sales Projections'!I35</f>
        <v>19216</v>
      </c>
      <c r="G7" s="81">
        <f>'Sales Projections'!J35</f>
        <v>19797.25</v>
      </c>
    </row>
    <row r="8" spans="1:7">
      <c r="A8" t="s">
        <v>235</v>
      </c>
      <c r="B8" s="81">
        <f>'Sales Projections'!E40</f>
        <v>1350</v>
      </c>
      <c r="C8" s="81">
        <f>'Sales Projections'!F40</f>
        <v>1404</v>
      </c>
      <c r="D8" s="81">
        <f>'Sales Projections'!G40</f>
        <v>1458</v>
      </c>
      <c r="E8" s="81">
        <f>'Sales Projections'!H40</f>
        <v>1512</v>
      </c>
      <c r="F8" s="81">
        <f>'Sales Projections'!I40</f>
        <v>1566</v>
      </c>
      <c r="G8" s="81">
        <f>'Sales Projections'!J40</f>
        <v>1620</v>
      </c>
    </row>
    <row r="9" spans="1:7">
      <c r="A9" s="54" t="s">
        <v>236</v>
      </c>
      <c r="B9" s="86">
        <f t="shared" ref="B9:G9" si="0">B7*0.03</f>
        <v>510.75</v>
      </c>
      <c r="C9" s="86">
        <f t="shared" si="0"/>
        <v>526.16250000000002</v>
      </c>
      <c r="D9" s="86">
        <f t="shared" si="0"/>
        <v>542.60249999999996</v>
      </c>
      <c r="E9" s="86">
        <f t="shared" si="0"/>
        <v>559.04250000000002</v>
      </c>
      <c r="F9" s="86">
        <f t="shared" si="0"/>
        <v>576.48</v>
      </c>
      <c r="G9" s="86">
        <f t="shared" si="0"/>
        <v>593.91750000000002</v>
      </c>
    </row>
    <row r="10" spans="1:7" ht="16" thickBot="1">
      <c r="A10" s="105" t="s">
        <v>354</v>
      </c>
      <c r="B10" s="100">
        <f>SUM(B7:B9)</f>
        <v>18885.75</v>
      </c>
      <c r="C10" s="100">
        <f t="shared" ref="C10:G10" si="1">SUM(C7:C9)</f>
        <v>19468.912499999999</v>
      </c>
      <c r="D10" s="100">
        <f t="shared" si="1"/>
        <v>20087.352500000001</v>
      </c>
      <c r="E10" s="100">
        <f t="shared" si="1"/>
        <v>20705.7925</v>
      </c>
      <c r="F10" s="100">
        <f t="shared" si="1"/>
        <v>21358.48</v>
      </c>
      <c r="G10" s="100">
        <f t="shared" si="1"/>
        <v>22011.1675</v>
      </c>
    </row>
    <row r="12" spans="1:7">
      <c r="A12" t="s">
        <v>222</v>
      </c>
      <c r="B12" s="81">
        <f>((Expenses!$C$15/7)+(Expenses!$C$27/7)+(Expenses!$C$2/7))/12</f>
        <v>322.61904761904765</v>
      </c>
      <c r="C12" s="81">
        <f>((Expenses!$C$15/7)+(Expenses!$C$27/7)+(Expenses!$C$2/7))/12</f>
        <v>322.61904761904765</v>
      </c>
      <c r="D12" s="81">
        <f>((Expenses!$C$15/7)+(Expenses!$C$27/7)+(Expenses!$C$2/7))/12</f>
        <v>322.61904761904765</v>
      </c>
      <c r="E12" s="81">
        <f>((Expenses!$C$15/7)+(Expenses!$C$27/7)+(Expenses!$C$2/7))/12</f>
        <v>322.61904761904765</v>
      </c>
      <c r="F12" s="81">
        <f>((Expenses!$C$15/7)+(Expenses!$C$27/7)+(Expenses!$C$2/7))/12</f>
        <v>322.61904761904765</v>
      </c>
      <c r="G12" s="81">
        <f>((Expenses!$C$15/7)+(Expenses!$C$27/7)+(Expenses!$C$2/7))/12</f>
        <v>322.61904761904765</v>
      </c>
    </row>
    <row r="14" spans="1:7" ht="16" thickBot="1">
      <c r="A14" s="111" t="s">
        <v>281</v>
      </c>
      <c r="B14" s="110"/>
      <c r="C14" s="110"/>
      <c r="D14" s="110"/>
      <c r="E14" s="110"/>
      <c r="F14" s="110"/>
      <c r="G14" s="110"/>
    </row>
    <row r="15" spans="1:7" ht="16" thickBot="1">
      <c r="A15" s="87" t="s">
        <v>329</v>
      </c>
      <c r="B15" s="109">
        <f t="shared" ref="B15:G15" si="2">B10-B14+B12</f>
        <v>19208.369047619046</v>
      </c>
      <c r="C15" s="109">
        <f t="shared" si="2"/>
        <v>19791.531547619044</v>
      </c>
      <c r="D15" s="109">
        <f t="shared" si="2"/>
        <v>20409.971547619047</v>
      </c>
      <c r="E15" s="109">
        <f t="shared" si="2"/>
        <v>21028.411547619045</v>
      </c>
      <c r="F15" s="109">
        <f t="shared" si="2"/>
        <v>21681.099047619045</v>
      </c>
      <c r="G15" s="109">
        <f t="shared" si="2"/>
        <v>22333.786547619045</v>
      </c>
    </row>
    <row r="16" spans="1:7">
      <c r="A16" s="6" t="s">
        <v>234</v>
      </c>
      <c r="B16" s="99" t="s">
        <v>332</v>
      </c>
      <c r="C16" s="99" t="s">
        <v>333</v>
      </c>
      <c r="D16" s="99" t="s">
        <v>334</v>
      </c>
      <c r="E16" s="99" t="s">
        <v>335</v>
      </c>
      <c r="F16" s="99" t="s">
        <v>336</v>
      </c>
      <c r="G16" s="99" t="s">
        <v>337</v>
      </c>
    </row>
    <row r="17" spans="1:7">
      <c r="A17" s="99" t="s">
        <v>348</v>
      </c>
    </row>
    <row r="18" spans="1:7">
      <c r="A18" t="s">
        <v>330</v>
      </c>
      <c r="B18" s="81">
        <f>'Sales Projections'!E61</f>
        <v>3304.2070801711311</v>
      </c>
      <c r="C18" s="81">
        <f>'Sales Projections'!F61</f>
        <v>3410.1372925762648</v>
      </c>
      <c r="D18" s="81">
        <f>'Sales Projections'!G61</f>
        <v>3521.6025858084076</v>
      </c>
      <c r="E18" s="81">
        <f>'Sales Projections'!H61</f>
        <v>3633.0678790405509</v>
      </c>
      <c r="F18" s="81">
        <f>'Sales Projections'!I61</f>
        <v>3749.708919766369</v>
      </c>
      <c r="G18" s="81">
        <f>'Sales Projections'!J61</f>
        <v>3866.3499604921872</v>
      </c>
    </row>
    <row r="19" spans="1:7">
      <c r="A19" t="s">
        <v>378</v>
      </c>
      <c r="B19" s="81">
        <f>SUMIF(Expenses!$A:$A,$A$19,Expenses!C:C)</f>
        <v>425</v>
      </c>
      <c r="C19" s="81">
        <f>SUMIF(Expenses!$A:$A,$A$19,Expenses!D:D)</f>
        <v>437.75</v>
      </c>
      <c r="D19" s="81">
        <f>SUMIF(Expenses!$A:$A,$A$19,Expenses!E:E)</f>
        <v>450.88250000000005</v>
      </c>
      <c r="E19" s="81">
        <f>SUMIF(Expenses!$A:$A,$A$19,Expenses!F:F)</f>
        <v>464.408975</v>
      </c>
      <c r="F19" s="81">
        <f>SUMIF(Expenses!$A:$A,$A$19,Expenses!G:G)</f>
        <v>478.3412442500001</v>
      </c>
      <c r="G19" s="81">
        <f>SUMIF(Expenses!$A:$A,$A$19,Expenses!H:H)</f>
        <v>492.69148157749999</v>
      </c>
    </row>
    <row r="20" spans="1:7">
      <c r="A20" t="s">
        <v>261</v>
      </c>
      <c r="B20" s="81">
        <f>VLOOKUP($A20,Expenses!$B:$J,2,FALSE)</f>
        <v>200</v>
      </c>
      <c r="C20" s="81">
        <f>VLOOKUP($A20,Expenses!$B:$J,2,FALSE)</f>
        <v>200</v>
      </c>
      <c r="D20" s="81">
        <f>VLOOKUP($A20,Expenses!$B:$J,2,FALSE)</f>
        <v>200</v>
      </c>
      <c r="E20" s="81">
        <f>VLOOKUP($A20,Expenses!$B:$J,2,FALSE)</f>
        <v>200</v>
      </c>
      <c r="F20" s="81">
        <f>VLOOKUP($A20,Expenses!$B:$J,2,FALSE)</f>
        <v>200</v>
      </c>
      <c r="G20" s="81">
        <f>VLOOKUP($A20,Expenses!$B:$J,2,FALSE)</f>
        <v>200</v>
      </c>
    </row>
    <row r="21" spans="1:7">
      <c r="A21" s="54" t="s">
        <v>129</v>
      </c>
      <c r="B21" s="86">
        <f>VLOOKUP($A21,Expenses!$B:$J,2,FALSE)</f>
        <v>200</v>
      </c>
      <c r="C21" s="86">
        <f>VLOOKUP($A21,Expenses!$B:$J,2,FALSE)</f>
        <v>200</v>
      </c>
      <c r="D21" s="86">
        <f>VLOOKUP($A21,Expenses!$B:$J,2,FALSE)</f>
        <v>200</v>
      </c>
      <c r="E21" s="86">
        <f>VLOOKUP($A21,Expenses!$B:$J,2,FALSE)</f>
        <v>200</v>
      </c>
      <c r="F21" s="86">
        <f>VLOOKUP($A21,Expenses!$B:$J,2,FALSE)</f>
        <v>200</v>
      </c>
      <c r="G21" s="86">
        <f>VLOOKUP($A21,Expenses!$B:$J,2,FALSE)</f>
        <v>200</v>
      </c>
    </row>
    <row r="22" spans="1:7" ht="16" thickBot="1">
      <c r="A22" s="105" t="s">
        <v>352</v>
      </c>
      <c r="B22" s="108">
        <f>SUM(B18:B21)</f>
        <v>4129.2070801711307</v>
      </c>
      <c r="C22" s="108">
        <f t="shared" ref="C22:G22" si="3">SUM(C18:C21)</f>
        <v>4247.8872925762644</v>
      </c>
      <c r="D22" s="108">
        <f t="shared" si="3"/>
        <v>4372.4850858084083</v>
      </c>
      <c r="E22" s="108">
        <f t="shared" si="3"/>
        <v>4497.4768540405512</v>
      </c>
      <c r="F22" s="108">
        <f t="shared" si="3"/>
        <v>4628.0501640163693</v>
      </c>
      <c r="G22" s="108">
        <f t="shared" si="3"/>
        <v>4759.041442069687</v>
      </c>
    </row>
    <row r="23" spans="1:7">
      <c r="A23" s="99" t="s">
        <v>347</v>
      </c>
    </row>
    <row r="24" spans="1:7">
      <c r="A24" t="s">
        <v>131</v>
      </c>
      <c r="B24" s="81">
        <v>150</v>
      </c>
      <c r="C24" s="81">
        <f>B24</f>
        <v>150</v>
      </c>
      <c r="D24" s="81">
        <f t="shared" ref="D24:G24" si="4">C24</f>
        <v>150</v>
      </c>
      <c r="E24" s="81">
        <f t="shared" si="4"/>
        <v>150</v>
      </c>
      <c r="F24" s="81">
        <f t="shared" si="4"/>
        <v>150</v>
      </c>
      <c r="G24" s="81">
        <f t="shared" si="4"/>
        <v>150</v>
      </c>
    </row>
    <row r="25" spans="1:7">
      <c r="A25" t="s">
        <v>369</v>
      </c>
      <c r="B25" s="81">
        <v>12</v>
      </c>
      <c r="C25" s="81">
        <v>12</v>
      </c>
      <c r="D25" s="81">
        <v>12</v>
      </c>
      <c r="E25" s="81">
        <v>12</v>
      </c>
      <c r="F25" s="81">
        <v>12</v>
      </c>
      <c r="G25" s="81">
        <v>12</v>
      </c>
    </row>
    <row r="26" spans="1:7">
      <c r="A26" t="s">
        <v>371</v>
      </c>
      <c r="B26" s="81">
        <v>125</v>
      </c>
      <c r="C26" s="81">
        <v>125</v>
      </c>
      <c r="D26" s="81">
        <v>125</v>
      </c>
      <c r="E26" s="81">
        <v>125</v>
      </c>
      <c r="F26" s="81">
        <v>125</v>
      </c>
      <c r="G26" s="81">
        <v>125</v>
      </c>
    </row>
    <row r="27" spans="1:7">
      <c r="A27" t="s">
        <v>219</v>
      </c>
      <c r="B27" s="81">
        <v>800</v>
      </c>
      <c r="C27" s="81">
        <v>800</v>
      </c>
      <c r="D27" s="81">
        <v>800</v>
      </c>
      <c r="E27" s="81">
        <v>800</v>
      </c>
      <c r="F27" s="81">
        <v>800</v>
      </c>
      <c r="G27" s="81">
        <v>800</v>
      </c>
    </row>
    <row r="28" spans="1:7">
      <c r="A28" t="s">
        <v>218</v>
      </c>
      <c r="B28" s="81">
        <v>75</v>
      </c>
      <c r="C28" s="81">
        <v>75</v>
      </c>
      <c r="D28" s="81">
        <v>75</v>
      </c>
      <c r="E28" s="81">
        <v>75</v>
      </c>
      <c r="F28" s="81">
        <v>75</v>
      </c>
      <c r="G28" s="81">
        <v>75</v>
      </c>
    </row>
    <row r="29" spans="1:7">
      <c r="A29" t="s">
        <v>269</v>
      </c>
      <c r="B29" s="81">
        <v>35</v>
      </c>
      <c r="C29" s="81">
        <v>35</v>
      </c>
      <c r="D29" s="81">
        <v>35</v>
      </c>
      <c r="E29" s="81">
        <v>35</v>
      </c>
      <c r="F29" s="81">
        <v>35</v>
      </c>
      <c r="G29" s="81">
        <v>35</v>
      </c>
    </row>
    <row r="30" spans="1:7">
      <c r="A30" s="54" t="s">
        <v>130</v>
      </c>
      <c r="B30" s="86">
        <v>120</v>
      </c>
      <c r="C30" s="86">
        <v>120</v>
      </c>
      <c r="D30" s="86">
        <v>120</v>
      </c>
      <c r="E30" s="86">
        <v>120</v>
      </c>
      <c r="F30" s="86">
        <v>120</v>
      </c>
      <c r="G30" s="86">
        <v>120</v>
      </c>
    </row>
    <row r="31" spans="1:7" ht="16" thickBot="1">
      <c r="A31" s="105" t="s">
        <v>353</v>
      </c>
      <c r="B31" s="110">
        <f>SUM(B24:B30)</f>
        <v>1317</v>
      </c>
      <c r="C31" s="110">
        <f t="shared" ref="C31:G31" si="5">SUM(C24:C30)</f>
        <v>1317</v>
      </c>
      <c r="D31" s="110">
        <f t="shared" si="5"/>
        <v>1317</v>
      </c>
      <c r="E31" s="110">
        <f t="shared" si="5"/>
        <v>1317</v>
      </c>
      <c r="F31" s="110">
        <f t="shared" si="5"/>
        <v>1317</v>
      </c>
      <c r="G31" s="110">
        <f t="shared" si="5"/>
        <v>1317</v>
      </c>
    </row>
    <row r="32" spans="1:7" ht="16" thickBot="1">
      <c r="A32" s="87" t="s">
        <v>280</v>
      </c>
      <c r="B32" s="109">
        <f>SUM(B31+B22)</f>
        <v>5446.2070801711307</v>
      </c>
      <c r="C32" s="109">
        <f t="shared" ref="C32:G32" si="6">SUM(C31+C22)</f>
        <v>5564.8872925762644</v>
      </c>
      <c r="D32" s="109">
        <f t="shared" si="6"/>
        <v>5689.4850858084083</v>
      </c>
      <c r="E32" s="109">
        <f t="shared" si="6"/>
        <v>5814.4768540405512</v>
      </c>
      <c r="F32" s="109">
        <f t="shared" si="6"/>
        <v>5945.0501640163693</v>
      </c>
      <c r="G32" s="109">
        <f t="shared" si="6"/>
        <v>6076.041442069687</v>
      </c>
    </row>
    <row r="34" spans="1:7">
      <c r="A34" s="54" t="s">
        <v>349</v>
      </c>
      <c r="B34" s="86">
        <f t="shared" ref="B34:G34" si="7">B15-B32</f>
        <v>13762.161967447915</v>
      </c>
      <c r="C34" s="86">
        <f t="shared" si="7"/>
        <v>14226.64425504278</v>
      </c>
      <c r="D34" s="86">
        <f t="shared" si="7"/>
        <v>14720.486461810639</v>
      </c>
      <c r="E34" s="86">
        <f t="shared" si="7"/>
        <v>15213.934693578494</v>
      </c>
      <c r="F34" s="86">
        <f t="shared" si="7"/>
        <v>15736.048883602676</v>
      </c>
      <c r="G34" s="86">
        <f t="shared" si="7"/>
        <v>16257.745105549358</v>
      </c>
    </row>
    <row r="35" spans="1:7">
      <c r="A35" s="107"/>
      <c r="B35" s="108"/>
      <c r="C35" s="108"/>
      <c r="D35" s="108"/>
      <c r="E35" s="108"/>
      <c r="F35" s="108"/>
      <c r="G35" s="108"/>
    </row>
    <row r="36" spans="1:7" ht="16" thickBot="1">
      <c r="A36" s="88" t="s">
        <v>343</v>
      </c>
      <c r="B36" s="89">
        <f>B1-B3+B34</f>
        <v>21957.161967447915</v>
      </c>
      <c r="C36" s="89">
        <f>B36+C34</f>
        <v>36183.806222490697</v>
      </c>
      <c r="D36" s="89">
        <f>C36+D34</f>
        <v>50904.292684301334</v>
      </c>
      <c r="E36" s="89">
        <f t="shared" ref="E36:G36" si="8">D36+E34</f>
        <v>66118.227377879826</v>
      </c>
      <c r="F36" s="89">
        <f t="shared" si="8"/>
        <v>81854.276261482504</v>
      </c>
      <c r="G36" s="89">
        <f t="shared" si="8"/>
        <v>98112.021367031863</v>
      </c>
    </row>
    <row r="37" spans="1:7" ht="16" thickTop="1"/>
  </sheetData>
  <pageMargins left="0.7" right="0.7" top="0.75" bottom="0.75" header="0.3" footer="0.3"/>
  <pageSetup orientation="portrait" horizontalDpi="0" verticalDpi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23A8-5E6B-8F43-A9C8-E41D799BB728}">
  <sheetPr>
    <tabColor rgb="FFFF0000"/>
  </sheetPr>
  <dimension ref="A1:H42"/>
  <sheetViews>
    <sheetView workbookViewId="0">
      <selection activeCell="C28" sqref="C28"/>
    </sheetView>
  </sheetViews>
  <sheetFormatPr baseColWidth="10" defaultRowHeight="15"/>
  <cols>
    <col min="1" max="1" width="14.33203125" bestFit="1" customWidth="1"/>
    <col min="2" max="2" width="62.1640625" customWidth="1"/>
    <col min="3" max="3" width="19.33203125" bestFit="1" customWidth="1"/>
  </cols>
  <sheetData>
    <row r="1" spans="1:4">
      <c r="A1" s="6" t="s">
        <v>351</v>
      </c>
      <c r="B1" s="91"/>
      <c r="C1" s="91"/>
    </row>
    <row r="2" spans="1:4">
      <c r="A2" t="s">
        <v>386</v>
      </c>
      <c r="B2" t="s">
        <v>132</v>
      </c>
      <c r="C2" s="81">
        <v>1500</v>
      </c>
      <c r="D2" s="10" t="s">
        <v>346</v>
      </c>
    </row>
    <row r="3" spans="1:4">
      <c r="A3" t="s">
        <v>386</v>
      </c>
      <c r="B3" t="s">
        <v>133</v>
      </c>
      <c r="C3" s="81">
        <v>80</v>
      </c>
    </row>
    <row r="4" spans="1:4">
      <c r="A4" t="s">
        <v>386</v>
      </c>
      <c r="B4" t="s">
        <v>134</v>
      </c>
      <c r="C4" s="81">
        <v>15</v>
      </c>
    </row>
    <row r="5" spans="1:4">
      <c r="A5" t="s">
        <v>386</v>
      </c>
      <c r="B5" t="s">
        <v>135</v>
      </c>
      <c r="C5" s="81">
        <v>30</v>
      </c>
    </row>
    <row r="6" spans="1:4">
      <c r="A6" t="s">
        <v>386</v>
      </c>
      <c r="B6" t="s">
        <v>136</v>
      </c>
      <c r="C6" s="81">
        <v>30</v>
      </c>
    </row>
    <row r="7" spans="1:4">
      <c r="A7" t="s">
        <v>386</v>
      </c>
      <c r="B7" t="s">
        <v>272</v>
      </c>
      <c r="C7" s="81">
        <v>200</v>
      </c>
    </row>
    <row r="8" spans="1:4">
      <c r="A8" t="s">
        <v>386</v>
      </c>
      <c r="B8" t="s">
        <v>137</v>
      </c>
      <c r="C8" s="81">
        <v>60</v>
      </c>
    </row>
    <row r="9" spans="1:4">
      <c r="A9" t="s">
        <v>386</v>
      </c>
      <c r="B9" t="s">
        <v>368</v>
      </c>
      <c r="C9" s="81">
        <v>200</v>
      </c>
    </row>
    <row r="10" spans="1:4">
      <c r="A10" t="s">
        <v>386</v>
      </c>
      <c r="B10" t="s">
        <v>268</v>
      </c>
      <c r="C10" s="81">
        <v>800</v>
      </c>
    </row>
    <row r="11" spans="1:4">
      <c r="A11" t="s">
        <v>386</v>
      </c>
      <c r="B11" t="s">
        <v>138</v>
      </c>
      <c r="C11" s="81">
        <v>20</v>
      </c>
    </row>
    <row r="12" spans="1:4">
      <c r="A12" t="s">
        <v>386</v>
      </c>
      <c r="B12" t="s">
        <v>374</v>
      </c>
      <c r="C12" s="81">
        <v>100</v>
      </c>
    </row>
    <row r="13" spans="1:4">
      <c r="A13" t="s">
        <v>386</v>
      </c>
      <c r="B13" t="s">
        <v>375</v>
      </c>
      <c r="C13" s="81">
        <v>80</v>
      </c>
    </row>
    <row r="14" spans="1:4">
      <c r="A14" t="s">
        <v>386</v>
      </c>
      <c r="B14" t="s">
        <v>273</v>
      </c>
      <c r="C14" s="81">
        <v>600</v>
      </c>
    </row>
    <row r="15" spans="1:4">
      <c r="A15" t="s">
        <v>386</v>
      </c>
      <c r="B15" t="s">
        <v>139</v>
      </c>
      <c r="C15" s="81">
        <v>600</v>
      </c>
      <c r="D15" s="10" t="s">
        <v>346</v>
      </c>
    </row>
    <row r="16" spans="1:4">
      <c r="A16" t="s">
        <v>386</v>
      </c>
      <c r="B16" t="s">
        <v>140</v>
      </c>
      <c r="C16" s="81">
        <v>150</v>
      </c>
    </row>
    <row r="17" spans="1:8">
      <c r="A17" t="s">
        <v>386</v>
      </c>
      <c r="B17" t="s">
        <v>373</v>
      </c>
      <c r="C17" s="81">
        <v>120</v>
      </c>
    </row>
    <row r="18" spans="1:8">
      <c r="A18" t="s">
        <v>386</v>
      </c>
      <c r="B18" t="s">
        <v>377</v>
      </c>
      <c r="C18" s="81">
        <v>160</v>
      </c>
    </row>
    <row r="19" spans="1:8">
      <c r="A19" t="s">
        <v>386</v>
      </c>
      <c r="B19" t="s">
        <v>421</v>
      </c>
      <c r="C19" s="81">
        <v>180</v>
      </c>
    </row>
    <row r="20" spans="1:8">
      <c r="A20" t="s">
        <v>131</v>
      </c>
      <c r="B20" t="s">
        <v>141</v>
      </c>
      <c r="C20" s="81">
        <v>150</v>
      </c>
    </row>
    <row r="21" spans="1:8">
      <c r="A21" t="s">
        <v>131</v>
      </c>
      <c r="B21" t="s">
        <v>142</v>
      </c>
      <c r="C21" s="81">
        <v>30</v>
      </c>
    </row>
    <row r="22" spans="1:8">
      <c r="A22" t="s">
        <v>131</v>
      </c>
      <c r="B22" t="s">
        <v>143</v>
      </c>
      <c r="C22" s="81">
        <v>25</v>
      </c>
    </row>
    <row r="23" spans="1:8">
      <c r="A23" t="s">
        <v>131</v>
      </c>
      <c r="B23" t="s">
        <v>144</v>
      </c>
      <c r="C23" s="81">
        <v>200</v>
      </c>
    </row>
    <row r="24" spans="1:8">
      <c r="A24" t="s">
        <v>131</v>
      </c>
      <c r="B24" t="s">
        <v>263</v>
      </c>
      <c r="C24" s="81">
        <v>225</v>
      </c>
    </row>
    <row r="25" spans="1:8">
      <c r="A25" t="s">
        <v>265</v>
      </c>
      <c r="B25" t="s">
        <v>266</v>
      </c>
      <c r="C25" s="81">
        <v>1000</v>
      </c>
    </row>
    <row r="26" spans="1:8">
      <c r="A26" t="s">
        <v>265</v>
      </c>
      <c r="B26" t="s">
        <v>267</v>
      </c>
      <c r="C26" s="81">
        <v>250</v>
      </c>
    </row>
    <row r="27" spans="1:8">
      <c r="B27" t="s">
        <v>310</v>
      </c>
      <c r="C27" s="81">
        <v>25000</v>
      </c>
      <c r="D27" s="10" t="s">
        <v>346</v>
      </c>
    </row>
    <row r="28" spans="1:8">
      <c r="B28" t="s">
        <v>367</v>
      </c>
      <c r="C28" s="81"/>
      <c r="D28" s="10"/>
    </row>
    <row r="29" spans="1:8">
      <c r="A29" s="91" t="s">
        <v>128</v>
      </c>
      <c r="B29" s="91"/>
      <c r="C29" s="99" t="s">
        <v>332</v>
      </c>
      <c r="D29" s="99" t="s">
        <v>333</v>
      </c>
      <c r="E29" s="99" t="s">
        <v>334</v>
      </c>
      <c r="F29" s="99" t="s">
        <v>335</v>
      </c>
      <c r="G29" s="99" t="s">
        <v>336</v>
      </c>
      <c r="H29" s="99" t="s">
        <v>337</v>
      </c>
    </row>
    <row r="30" spans="1:8">
      <c r="A30" t="s">
        <v>378</v>
      </c>
      <c r="B30" t="s">
        <v>276</v>
      </c>
      <c r="C30" s="81">
        <v>100</v>
      </c>
      <c r="D30" s="12">
        <f>C30*1.03</f>
        <v>103</v>
      </c>
      <c r="E30" s="12">
        <f t="shared" ref="E30:H30" si="0">D30*1.03</f>
        <v>106.09</v>
      </c>
      <c r="F30" s="12">
        <f t="shared" si="0"/>
        <v>109.2727</v>
      </c>
      <c r="G30" s="12">
        <f t="shared" si="0"/>
        <v>112.550881</v>
      </c>
      <c r="H30" s="12">
        <f t="shared" si="0"/>
        <v>115.92740743</v>
      </c>
    </row>
    <row r="31" spans="1:8">
      <c r="A31" t="s">
        <v>378</v>
      </c>
      <c r="B31" t="s">
        <v>11</v>
      </c>
      <c r="C31" s="81">
        <v>15</v>
      </c>
      <c r="D31" s="12">
        <f t="shared" ref="D31:H40" si="1">C31*1.03</f>
        <v>15.450000000000001</v>
      </c>
      <c r="E31" s="12">
        <f t="shared" si="1"/>
        <v>15.913500000000001</v>
      </c>
      <c r="F31" s="12">
        <f t="shared" si="1"/>
        <v>16.390905</v>
      </c>
      <c r="G31" s="12">
        <f t="shared" si="1"/>
        <v>16.882632149999999</v>
      </c>
      <c r="H31" s="12">
        <f t="shared" si="1"/>
        <v>17.3891111145</v>
      </c>
    </row>
    <row r="32" spans="1:8">
      <c r="A32" t="s">
        <v>378</v>
      </c>
      <c r="B32" t="s">
        <v>125</v>
      </c>
      <c r="C32" s="81">
        <v>25</v>
      </c>
      <c r="D32" s="12">
        <f t="shared" si="1"/>
        <v>25.75</v>
      </c>
      <c r="E32" s="12">
        <f t="shared" si="1"/>
        <v>26.522500000000001</v>
      </c>
      <c r="F32" s="12">
        <f t="shared" si="1"/>
        <v>27.318175</v>
      </c>
      <c r="G32" s="12">
        <f t="shared" si="1"/>
        <v>28.137720250000001</v>
      </c>
      <c r="H32" s="12">
        <f t="shared" si="1"/>
        <v>28.981851857500001</v>
      </c>
    </row>
    <row r="33" spans="1:8">
      <c r="A33" t="s">
        <v>378</v>
      </c>
      <c r="B33" t="s">
        <v>344</v>
      </c>
      <c r="C33" s="81">
        <v>50</v>
      </c>
      <c r="D33" s="12">
        <f t="shared" si="1"/>
        <v>51.5</v>
      </c>
      <c r="E33" s="12">
        <f t="shared" si="1"/>
        <v>53.045000000000002</v>
      </c>
      <c r="F33" s="12">
        <f t="shared" si="1"/>
        <v>54.63635</v>
      </c>
      <c r="G33" s="12">
        <f t="shared" si="1"/>
        <v>56.275440500000002</v>
      </c>
      <c r="H33" s="12">
        <f t="shared" si="1"/>
        <v>57.963703715000001</v>
      </c>
    </row>
    <row r="34" spans="1:8">
      <c r="A34" t="s">
        <v>378</v>
      </c>
      <c r="B34" t="s">
        <v>372</v>
      </c>
      <c r="C34" s="81">
        <v>100</v>
      </c>
      <c r="D34" s="12">
        <f t="shared" si="1"/>
        <v>103</v>
      </c>
      <c r="E34" s="12">
        <f t="shared" si="1"/>
        <v>106.09</v>
      </c>
      <c r="F34" s="12">
        <f t="shared" si="1"/>
        <v>109.2727</v>
      </c>
      <c r="G34" s="12">
        <f t="shared" si="1"/>
        <v>112.550881</v>
      </c>
      <c r="H34" s="12">
        <f t="shared" si="1"/>
        <v>115.92740743</v>
      </c>
    </row>
    <row r="35" spans="1:8">
      <c r="A35" t="s">
        <v>378</v>
      </c>
      <c r="B35" t="s">
        <v>376</v>
      </c>
      <c r="C35" s="81">
        <v>15</v>
      </c>
      <c r="D35" s="12">
        <f t="shared" si="1"/>
        <v>15.450000000000001</v>
      </c>
      <c r="E35" s="12">
        <f t="shared" si="1"/>
        <v>15.913500000000001</v>
      </c>
      <c r="F35" s="12">
        <f t="shared" si="1"/>
        <v>16.390905</v>
      </c>
      <c r="G35" s="12">
        <f t="shared" si="1"/>
        <v>16.882632149999999</v>
      </c>
      <c r="H35" s="12">
        <f t="shared" si="1"/>
        <v>17.3891111145</v>
      </c>
    </row>
    <row r="36" spans="1:8">
      <c r="A36" t="s">
        <v>378</v>
      </c>
      <c r="B36" t="s">
        <v>127</v>
      </c>
      <c r="C36" s="81">
        <v>100</v>
      </c>
      <c r="D36" s="12">
        <f t="shared" si="1"/>
        <v>103</v>
      </c>
      <c r="E36" s="12">
        <f t="shared" si="1"/>
        <v>106.09</v>
      </c>
      <c r="F36" s="12">
        <f t="shared" si="1"/>
        <v>109.2727</v>
      </c>
      <c r="G36" s="12">
        <f t="shared" si="1"/>
        <v>112.550881</v>
      </c>
      <c r="H36" s="12">
        <f t="shared" si="1"/>
        <v>115.92740743</v>
      </c>
    </row>
    <row r="37" spans="1:8">
      <c r="A37" t="s">
        <v>378</v>
      </c>
      <c r="B37" t="s">
        <v>277</v>
      </c>
      <c r="C37" s="81">
        <v>10</v>
      </c>
      <c r="D37" s="12">
        <f t="shared" si="1"/>
        <v>10.3</v>
      </c>
      <c r="E37" s="12">
        <f t="shared" si="1"/>
        <v>10.609000000000002</v>
      </c>
      <c r="F37" s="12">
        <f t="shared" si="1"/>
        <v>10.927270000000002</v>
      </c>
      <c r="G37" s="12">
        <f t="shared" si="1"/>
        <v>11.255088100000002</v>
      </c>
      <c r="H37" s="12">
        <f t="shared" si="1"/>
        <v>11.592740743000002</v>
      </c>
    </row>
    <row r="38" spans="1:8">
      <c r="A38" t="s">
        <v>378</v>
      </c>
      <c r="B38" t="s">
        <v>345</v>
      </c>
      <c r="C38" s="81">
        <v>10</v>
      </c>
      <c r="D38" s="12">
        <f t="shared" si="1"/>
        <v>10.3</v>
      </c>
      <c r="E38" s="12">
        <f t="shared" si="1"/>
        <v>10.609000000000002</v>
      </c>
      <c r="F38" s="12">
        <f t="shared" si="1"/>
        <v>10.927270000000002</v>
      </c>
      <c r="G38" s="12">
        <f t="shared" si="1"/>
        <v>11.255088100000002</v>
      </c>
      <c r="H38" s="12">
        <f t="shared" si="1"/>
        <v>11.592740743000002</v>
      </c>
    </row>
    <row r="39" spans="1:8">
      <c r="A39" t="s">
        <v>350</v>
      </c>
      <c r="B39" t="s">
        <v>129</v>
      </c>
      <c r="C39" s="81">
        <v>200</v>
      </c>
      <c r="D39" s="12">
        <f t="shared" si="1"/>
        <v>206</v>
      </c>
      <c r="E39" s="12">
        <f t="shared" si="1"/>
        <v>212.18</v>
      </c>
      <c r="F39" s="12">
        <f t="shared" si="1"/>
        <v>218.5454</v>
      </c>
      <c r="G39" s="12">
        <f t="shared" si="1"/>
        <v>225.10176200000001</v>
      </c>
      <c r="H39" s="12">
        <f t="shared" si="1"/>
        <v>231.85481486</v>
      </c>
    </row>
    <row r="40" spans="1:8">
      <c r="A40" t="s">
        <v>350</v>
      </c>
      <c r="B40" t="s">
        <v>261</v>
      </c>
      <c r="C40" s="81">
        <v>200</v>
      </c>
      <c r="D40" s="12">
        <f t="shared" si="1"/>
        <v>206</v>
      </c>
      <c r="E40" s="12">
        <f t="shared" si="1"/>
        <v>212.18</v>
      </c>
      <c r="F40" s="12">
        <f t="shared" si="1"/>
        <v>218.5454</v>
      </c>
      <c r="G40" s="12">
        <f t="shared" si="1"/>
        <v>225.10176200000001</v>
      </c>
      <c r="H40" s="12">
        <f t="shared" si="1"/>
        <v>231.85481486</v>
      </c>
    </row>
    <row r="41" spans="1:8">
      <c r="A41" t="s">
        <v>220</v>
      </c>
      <c r="B41" t="s">
        <v>278</v>
      </c>
      <c r="C41" s="81" t="s">
        <v>279</v>
      </c>
    </row>
    <row r="42" spans="1:8">
      <c r="A42" t="s">
        <v>220</v>
      </c>
      <c r="B42" t="s">
        <v>126</v>
      </c>
      <c r="C42" s="81" t="s">
        <v>279</v>
      </c>
    </row>
  </sheetData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C833-01C0-5A49-8CBB-BB4A63A5804E}">
  <sheetPr>
    <tabColor rgb="FFFF0000"/>
  </sheetPr>
  <dimension ref="A1:AU87"/>
  <sheetViews>
    <sheetView tabSelected="1" zoomScale="80" zoomScaleNormal="80" workbookViewId="0">
      <pane xSplit="4" ySplit="3" topLeftCell="E4" activePane="bottomRight" state="frozen"/>
      <selection activeCell="E31" sqref="E31"/>
      <selection pane="topRight" activeCell="E31" sqref="E31"/>
      <selection pane="bottomLeft" activeCell="E31" sqref="E31"/>
      <selection pane="bottomRight" activeCell="E31" sqref="E31"/>
    </sheetView>
  </sheetViews>
  <sheetFormatPr baseColWidth="10" defaultRowHeight="15"/>
  <cols>
    <col min="2" max="2" width="22.1640625" bestFit="1" customWidth="1"/>
    <col min="3" max="3" width="9.33203125" customWidth="1"/>
    <col min="4" max="4" width="8" style="46" customWidth="1"/>
    <col min="5" max="5" width="11.83203125" bestFit="1" customWidth="1"/>
    <col min="6" max="6" width="14" customWidth="1"/>
    <col min="17" max="17" width="10.83203125" style="73"/>
  </cols>
  <sheetData>
    <row r="1" spans="1:25" ht="17">
      <c r="A1" s="134" t="s">
        <v>314</v>
      </c>
      <c r="B1" s="134"/>
      <c r="C1" s="134"/>
      <c r="D1" s="135"/>
      <c r="E1" s="132" t="s">
        <v>258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78"/>
      <c r="Y1" s="43"/>
    </row>
    <row r="2" spans="1:25" s="60" customFormat="1" ht="17">
      <c r="A2" s="134" t="s">
        <v>315</v>
      </c>
      <c r="B2" s="134"/>
      <c r="C2" s="134"/>
      <c r="D2" s="135"/>
      <c r="E2" s="90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Y2" s="94"/>
    </row>
    <row r="3" spans="1:25" ht="18" thickBot="1">
      <c r="C3" s="6" t="s">
        <v>43</v>
      </c>
      <c r="D3" s="72" t="s">
        <v>237</v>
      </c>
      <c r="E3" s="6" t="s">
        <v>226</v>
      </c>
      <c r="F3" s="6" t="s">
        <v>227</v>
      </c>
      <c r="G3" s="6" t="s">
        <v>243</v>
      </c>
      <c r="H3" s="6" t="s">
        <v>244</v>
      </c>
      <c r="I3" s="6" t="s">
        <v>245</v>
      </c>
      <c r="J3" s="6" t="s">
        <v>246</v>
      </c>
      <c r="K3" s="6" t="s">
        <v>247</v>
      </c>
      <c r="L3" s="6" t="s">
        <v>248</v>
      </c>
      <c r="M3" s="6" t="s">
        <v>249</v>
      </c>
      <c r="N3" s="6" t="s">
        <v>250</v>
      </c>
      <c r="O3" s="6" t="s">
        <v>251</v>
      </c>
      <c r="P3" s="6" t="s">
        <v>225</v>
      </c>
      <c r="Q3" s="77" t="s">
        <v>257</v>
      </c>
      <c r="R3" s="6" t="s">
        <v>226</v>
      </c>
      <c r="S3" s="6" t="s">
        <v>227</v>
      </c>
      <c r="T3" s="6" t="s">
        <v>243</v>
      </c>
      <c r="U3" s="6" t="s">
        <v>244</v>
      </c>
      <c r="V3" s="6" t="s">
        <v>245</v>
      </c>
      <c r="W3" s="6" t="s">
        <v>246</v>
      </c>
      <c r="Y3" s="43"/>
    </row>
    <row r="4" spans="1:25" ht="15" customHeight="1">
      <c r="A4" s="141" t="s">
        <v>223</v>
      </c>
      <c r="B4" t="s">
        <v>424</v>
      </c>
      <c r="C4" s="1">
        <f>VLOOKUP($B4,'Total Ingredients'!$A:$E,5,FALSE)</f>
        <v>7</v>
      </c>
      <c r="D4" s="1">
        <f>VLOOKUP($B4,'Total Ingredients'!$A:$E,3,FALSE)</f>
        <v>0.86716467828124999</v>
      </c>
      <c r="E4" s="68">
        <f>VLOOKUP(B4,'Total Ingredients'!$A$3:$B$7,2,FALSE)</f>
        <v>500</v>
      </c>
      <c r="F4" s="68">
        <f>ROUNDUP(E4*1.03,0)</f>
        <v>515</v>
      </c>
      <c r="G4" s="68">
        <f t="shared" ref="G4:W20" si="0">ROUNDUP(F4*1.03,0)</f>
        <v>531</v>
      </c>
      <c r="H4" s="68">
        <f t="shared" si="0"/>
        <v>547</v>
      </c>
      <c r="I4" s="68">
        <f t="shared" si="0"/>
        <v>564</v>
      </c>
      <c r="J4" s="68">
        <f t="shared" si="0"/>
        <v>581</v>
      </c>
      <c r="K4" s="68">
        <f t="shared" si="0"/>
        <v>599</v>
      </c>
      <c r="L4" s="68">
        <f t="shared" si="0"/>
        <v>617</v>
      </c>
      <c r="M4" s="68">
        <f t="shared" si="0"/>
        <v>636</v>
      </c>
      <c r="N4" s="68">
        <f t="shared" si="0"/>
        <v>656</v>
      </c>
      <c r="O4" s="68">
        <f t="shared" si="0"/>
        <v>676</v>
      </c>
      <c r="P4" s="68">
        <f t="shared" si="0"/>
        <v>697</v>
      </c>
      <c r="Q4" s="74">
        <f>SUM(E4:P4)</f>
        <v>7119</v>
      </c>
      <c r="R4" s="68">
        <f t="shared" ref="R4:R15" si="1">ROUNDUP(P4*1.03,0)</f>
        <v>718</v>
      </c>
      <c r="S4" s="68">
        <f t="shared" si="0"/>
        <v>740</v>
      </c>
      <c r="T4" s="68">
        <f t="shared" si="0"/>
        <v>763</v>
      </c>
      <c r="U4" s="68">
        <f t="shared" si="0"/>
        <v>786</v>
      </c>
      <c r="V4" s="68">
        <f t="shared" si="0"/>
        <v>810</v>
      </c>
      <c r="W4" s="68">
        <f t="shared" si="0"/>
        <v>835</v>
      </c>
      <c r="Y4" s="43"/>
    </row>
    <row r="5" spans="1:25">
      <c r="A5" s="141"/>
      <c r="B5" t="s">
        <v>300</v>
      </c>
      <c r="C5" s="1">
        <f>VLOOKUP($B5,'Total Ingredients'!$A:$E,5,FALSE)</f>
        <v>7</v>
      </c>
      <c r="D5" s="1">
        <f>VLOOKUP($B5,'Total Ingredients'!$A:$E,3,FALSE)</f>
        <v>0.93130217828125017</v>
      </c>
      <c r="E5" s="68">
        <f>VLOOKUP(B5,'Total Ingredients'!$A$3:$B$7,2,FALSE)</f>
        <v>500</v>
      </c>
      <c r="F5" s="68">
        <f t="shared" ref="F5:V20" si="2">ROUNDUP(E5*1.03,0)</f>
        <v>515</v>
      </c>
      <c r="G5" s="68">
        <f t="shared" si="2"/>
        <v>531</v>
      </c>
      <c r="H5" s="68">
        <f t="shared" si="2"/>
        <v>547</v>
      </c>
      <c r="I5" s="68">
        <f t="shared" si="2"/>
        <v>564</v>
      </c>
      <c r="J5" s="68">
        <f t="shared" si="2"/>
        <v>581</v>
      </c>
      <c r="K5" s="68">
        <f t="shared" si="2"/>
        <v>599</v>
      </c>
      <c r="L5" s="68">
        <f t="shared" si="2"/>
        <v>617</v>
      </c>
      <c r="M5" s="68">
        <f t="shared" si="2"/>
        <v>636</v>
      </c>
      <c r="N5" s="68">
        <f t="shared" si="2"/>
        <v>656</v>
      </c>
      <c r="O5" s="68">
        <f t="shared" si="2"/>
        <v>676</v>
      </c>
      <c r="P5" s="68">
        <f t="shared" si="2"/>
        <v>697</v>
      </c>
      <c r="Q5" s="74">
        <f>SUM(E5:P5)</f>
        <v>7119</v>
      </c>
      <c r="R5" s="68">
        <f t="shared" si="1"/>
        <v>718</v>
      </c>
      <c r="S5" s="68">
        <f t="shared" si="2"/>
        <v>740</v>
      </c>
      <c r="T5" s="68">
        <f t="shared" si="2"/>
        <v>763</v>
      </c>
      <c r="U5" s="68">
        <f t="shared" si="2"/>
        <v>786</v>
      </c>
      <c r="V5" s="68">
        <f t="shared" si="2"/>
        <v>810</v>
      </c>
      <c r="W5" s="68">
        <f t="shared" si="0"/>
        <v>835</v>
      </c>
    </row>
    <row r="6" spans="1:25">
      <c r="A6" s="141"/>
      <c r="B6" t="s">
        <v>7</v>
      </c>
      <c r="C6" s="1">
        <f>VLOOKUP($B6,'Total Ingredients'!$A:$E,5,FALSE)</f>
        <v>7</v>
      </c>
      <c r="D6" s="1">
        <f>VLOOKUP($B6,'Total Ingredients'!$A:$E,3,FALSE)</f>
        <v>0.87037334752604167</v>
      </c>
      <c r="E6" s="68">
        <f>VLOOKUP(B6,'Total Ingredients'!$A$3:$B$7,2,FALSE)</f>
        <v>500</v>
      </c>
      <c r="F6" s="68">
        <f t="shared" si="2"/>
        <v>515</v>
      </c>
      <c r="G6" s="68">
        <f t="shared" si="0"/>
        <v>531</v>
      </c>
      <c r="H6" s="68">
        <f t="shared" si="0"/>
        <v>547</v>
      </c>
      <c r="I6" s="68">
        <f t="shared" si="0"/>
        <v>564</v>
      </c>
      <c r="J6" s="68">
        <f t="shared" si="0"/>
        <v>581</v>
      </c>
      <c r="K6" s="68">
        <f t="shared" si="0"/>
        <v>599</v>
      </c>
      <c r="L6" s="68">
        <f t="shared" si="0"/>
        <v>617</v>
      </c>
      <c r="M6" s="68">
        <f t="shared" si="0"/>
        <v>636</v>
      </c>
      <c r="N6" s="68">
        <f t="shared" si="0"/>
        <v>656</v>
      </c>
      <c r="O6" s="68">
        <f t="shared" si="0"/>
        <v>676</v>
      </c>
      <c r="P6" s="68">
        <f t="shared" si="0"/>
        <v>697</v>
      </c>
      <c r="Q6" s="74">
        <f t="shared" ref="Q6:Q79" si="3">SUM(E6:P6)</f>
        <v>7119</v>
      </c>
      <c r="R6" s="68">
        <f t="shared" si="1"/>
        <v>718</v>
      </c>
      <c r="S6" s="68">
        <f t="shared" si="0"/>
        <v>740</v>
      </c>
      <c r="T6" s="68">
        <f t="shared" si="0"/>
        <v>763</v>
      </c>
      <c r="U6" s="68">
        <f t="shared" si="0"/>
        <v>786</v>
      </c>
      <c r="V6" s="68">
        <f t="shared" si="0"/>
        <v>810</v>
      </c>
      <c r="W6" s="68">
        <f t="shared" si="0"/>
        <v>835</v>
      </c>
    </row>
    <row r="7" spans="1:25">
      <c r="A7" s="141"/>
      <c r="B7" t="s">
        <v>423</v>
      </c>
      <c r="C7" s="1">
        <f>VLOOKUP($B7,'Total Ingredients'!$A:$E,5,FALSE)</f>
        <v>7</v>
      </c>
      <c r="D7" s="1">
        <f>VLOOKUP($B7,'Total Ingredients'!$A:$E,3,FALSE)</f>
        <v>0.75699062292038688</v>
      </c>
      <c r="E7" s="68">
        <f>VLOOKUP(B7,'Total Ingredients'!$A$3:$B$7,2,FALSE)</f>
        <v>500</v>
      </c>
      <c r="F7" s="68">
        <f t="shared" si="2"/>
        <v>515</v>
      </c>
      <c r="G7" s="68">
        <f t="shared" si="0"/>
        <v>531</v>
      </c>
      <c r="H7" s="68">
        <f t="shared" si="0"/>
        <v>547</v>
      </c>
      <c r="I7" s="68">
        <f t="shared" si="0"/>
        <v>564</v>
      </c>
      <c r="J7" s="68">
        <f t="shared" si="0"/>
        <v>581</v>
      </c>
      <c r="K7" s="68">
        <f t="shared" si="0"/>
        <v>599</v>
      </c>
      <c r="L7" s="68">
        <f t="shared" si="0"/>
        <v>617</v>
      </c>
      <c r="M7" s="68">
        <f t="shared" si="0"/>
        <v>636</v>
      </c>
      <c r="N7" s="68">
        <f t="shared" si="0"/>
        <v>656</v>
      </c>
      <c r="O7" s="68">
        <f t="shared" si="0"/>
        <v>676</v>
      </c>
      <c r="P7" s="68">
        <f t="shared" si="0"/>
        <v>697</v>
      </c>
      <c r="Q7" s="74">
        <f t="shared" si="3"/>
        <v>7119</v>
      </c>
      <c r="R7" s="68">
        <f t="shared" si="1"/>
        <v>718</v>
      </c>
      <c r="S7" s="68">
        <f t="shared" si="0"/>
        <v>740</v>
      </c>
      <c r="T7" s="68">
        <f t="shared" si="0"/>
        <v>763</v>
      </c>
      <c r="U7" s="68">
        <f t="shared" si="0"/>
        <v>786</v>
      </c>
      <c r="V7" s="68">
        <f t="shared" si="0"/>
        <v>810</v>
      </c>
      <c r="W7" s="68">
        <f t="shared" si="0"/>
        <v>835</v>
      </c>
    </row>
    <row r="8" spans="1:25">
      <c r="A8" s="141"/>
      <c r="B8" t="s">
        <v>238</v>
      </c>
      <c r="C8" s="1">
        <f>VLOOKUP($B8,'Total Ingredients'!$A:$E,5,FALSE)</f>
        <v>5.25</v>
      </c>
      <c r="D8" s="1">
        <f>VLOOKUP($B8,'Total Ingredients'!$A:$E,3,FALSE)</f>
        <v>0.71875000000000011</v>
      </c>
      <c r="E8" s="68">
        <f>VLOOKUP(B8,'Total Ingredients'!$A$3:$B$7,2,FALSE)</f>
        <v>500</v>
      </c>
      <c r="F8" s="68">
        <f t="shared" si="2"/>
        <v>515</v>
      </c>
      <c r="G8" s="68">
        <f t="shared" si="0"/>
        <v>531</v>
      </c>
      <c r="H8" s="68">
        <f t="shared" si="0"/>
        <v>547</v>
      </c>
      <c r="I8" s="68">
        <f t="shared" si="0"/>
        <v>564</v>
      </c>
      <c r="J8" s="68">
        <f t="shared" si="0"/>
        <v>581</v>
      </c>
      <c r="K8" s="68">
        <f t="shared" si="0"/>
        <v>599</v>
      </c>
      <c r="L8" s="68">
        <f t="shared" si="0"/>
        <v>617</v>
      </c>
      <c r="M8" s="68">
        <f t="shared" si="0"/>
        <v>636</v>
      </c>
      <c r="N8" s="68">
        <f t="shared" si="0"/>
        <v>656</v>
      </c>
      <c r="O8" s="68">
        <f t="shared" si="0"/>
        <v>676</v>
      </c>
      <c r="P8" s="68">
        <f t="shared" si="0"/>
        <v>697</v>
      </c>
      <c r="Q8" s="74">
        <f t="shared" si="3"/>
        <v>7119</v>
      </c>
      <c r="R8" s="68">
        <f t="shared" si="1"/>
        <v>718</v>
      </c>
      <c r="S8" s="68">
        <f t="shared" si="0"/>
        <v>740</v>
      </c>
      <c r="T8" s="68">
        <f t="shared" si="0"/>
        <v>763</v>
      </c>
      <c r="U8" s="68">
        <f t="shared" si="0"/>
        <v>786</v>
      </c>
      <c r="V8" s="68">
        <f t="shared" si="0"/>
        <v>810</v>
      </c>
      <c r="W8" s="68">
        <f t="shared" si="0"/>
        <v>835</v>
      </c>
    </row>
    <row r="9" spans="1:25">
      <c r="A9" s="141"/>
      <c r="C9" s="1" t="e">
        <f>VLOOKUP($B9,'Total Ingredients'!$A:$E,5,FALSE)</f>
        <v>#N/A</v>
      </c>
      <c r="D9" s="1" t="e">
        <f>VLOOKUP($B9,'Total Ingredients'!$A:$E,3,FALSE)</f>
        <v>#N/A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74"/>
      <c r="R9" s="68"/>
      <c r="S9" s="68"/>
      <c r="T9" s="68"/>
      <c r="U9" s="68"/>
      <c r="V9" s="68"/>
      <c r="W9" s="68"/>
    </row>
    <row r="10" spans="1:25">
      <c r="A10" s="141"/>
      <c r="C10" s="1" t="e">
        <f>VLOOKUP($B10,'Total Ingredients'!$A:$E,5,FALSE)</f>
        <v>#N/A</v>
      </c>
      <c r="D10" s="1" t="e">
        <f>VLOOKUP($B10,'Total Ingredients'!$A:$E,3,FALSE)</f>
        <v>#N/A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74"/>
      <c r="R10" s="68"/>
      <c r="S10" s="68"/>
      <c r="T10" s="68"/>
      <c r="U10" s="68"/>
      <c r="V10" s="68"/>
      <c r="W10" s="68"/>
    </row>
    <row r="11" spans="1:25">
      <c r="A11" s="141"/>
      <c r="C11" s="1" t="e">
        <f>VLOOKUP($B11,'Total Ingredients'!$A:$E,5,FALSE)</f>
        <v>#N/A</v>
      </c>
      <c r="D11" s="1" t="e">
        <f>VLOOKUP($B11,'Total Ingredients'!$A:$E,3,FALSE)</f>
        <v>#N/A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4"/>
      <c r="R11" s="68"/>
      <c r="S11" s="68"/>
      <c r="T11" s="68"/>
      <c r="U11" s="68"/>
      <c r="V11" s="68"/>
      <c r="W11" s="68"/>
    </row>
    <row r="12" spans="1:25">
      <c r="A12" s="141"/>
      <c r="C12" s="1" t="e">
        <f>VLOOKUP($B12,'Total Ingredients'!$A:$E,5,FALSE)</f>
        <v>#N/A</v>
      </c>
      <c r="D12" s="1" t="e">
        <f>VLOOKUP($B12,'Total Ingredients'!$A:$E,3,FALSE)</f>
        <v>#N/A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4"/>
      <c r="R12" s="68"/>
      <c r="S12" s="68"/>
      <c r="T12" s="68"/>
      <c r="U12" s="68"/>
      <c r="V12" s="68"/>
      <c r="W12" s="68"/>
    </row>
    <row r="13" spans="1:25">
      <c r="A13" s="141"/>
      <c r="C13" s="1" t="e">
        <f>VLOOKUP($B13,'Total Ingredients'!$A:$E,5,FALSE)</f>
        <v>#N/A</v>
      </c>
      <c r="D13" s="1" t="e">
        <f>VLOOKUP($B13,'Total Ingredients'!$A:$E,3,FALSE)</f>
        <v>#N/A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74"/>
      <c r="R13" s="68"/>
      <c r="S13" s="68"/>
      <c r="T13" s="68"/>
      <c r="U13" s="68"/>
      <c r="V13" s="68"/>
      <c r="W13" s="68"/>
    </row>
    <row r="14" spans="1:25">
      <c r="A14" s="141"/>
      <c r="B14" t="s">
        <v>239</v>
      </c>
      <c r="C14" s="61">
        <v>4</v>
      </c>
      <c r="D14" s="62">
        <v>0.8</v>
      </c>
      <c r="E14" s="68">
        <v>75</v>
      </c>
      <c r="F14" s="68">
        <f t="shared" si="2"/>
        <v>78</v>
      </c>
      <c r="G14" s="68">
        <f t="shared" si="0"/>
        <v>81</v>
      </c>
      <c r="H14" s="68">
        <f t="shared" si="0"/>
        <v>84</v>
      </c>
      <c r="I14" s="68">
        <f t="shared" si="0"/>
        <v>87</v>
      </c>
      <c r="J14" s="68">
        <f t="shared" si="0"/>
        <v>90</v>
      </c>
      <c r="K14" s="68">
        <f t="shared" si="0"/>
        <v>93</v>
      </c>
      <c r="L14" s="68">
        <f t="shared" si="0"/>
        <v>96</v>
      </c>
      <c r="M14" s="68">
        <f t="shared" si="0"/>
        <v>99</v>
      </c>
      <c r="N14" s="68">
        <f t="shared" si="0"/>
        <v>102</v>
      </c>
      <c r="O14" s="68">
        <f t="shared" si="0"/>
        <v>106</v>
      </c>
      <c r="P14" s="68">
        <f t="shared" si="0"/>
        <v>110</v>
      </c>
      <c r="Q14" s="74">
        <f>SUM(E14:P14)</f>
        <v>1101</v>
      </c>
      <c r="R14" s="68">
        <f t="shared" si="1"/>
        <v>114</v>
      </c>
      <c r="S14" s="68">
        <f t="shared" si="0"/>
        <v>118</v>
      </c>
      <c r="T14" s="68">
        <f t="shared" si="0"/>
        <v>122</v>
      </c>
      <c r="U14" s="68">
        <f t="shared" si="0"/>
        <v>126</v>
      </c>
      <c r="V14" s="68">
        <f t="shared" si="0"/>
        <v>130</v>
      </c>
      <c r="W14" s="68">
        <f t="shared" si="0"/>
        <v>134</v>
      </c>
    </row>
    <row r="15" spans="1:25">
      <c r="A15" s="141"/>
      <c r="B15" t="s">
        <v>270</v>
      </c>
      <c r="C15" s="61">
        <v>1</v>
      </c>
      <c r="D15" s="62">
        <v>0.3</v>
      </c>
      <c r="E15" s="68">
        <v>100</v>
      </c>
      <c r="F15" s="68">
        <f t="shared" si="2"/>
        <v>103</v>
      </c>
      <c r="G15" s="68">
        <f t="shared" si="0"/>
        <v>107</v>
      </c>
      <c r="H15" s="68">
        <f t="shared" si="0"/>
        <v>111</v>
      </c>
      <c r="I15" s="68">
        <f t="shared" si="0"/>
        <v>115</v>
      </c>
      <c r="J15" s="68">
        <f t="shared" si="0"/>
        <v>119</v>
      </c>
      <c r="K15" s="68">
        <f t="shared" si="0"/>
        <v>123</v>
      </c>
      <c r="L15" s="68">
        <f t="shared" si="0"/>
        <v>127</v>
      </c>
      <c r="M15" s="68">
        <f t="shared" si="0"/>
        <v>131</v>
      </c>
      <c r="N15" s="68">
        <f t="shared" si="0"/>
        <v>135</v>
      </c>
      <c r="O15" s="68">
        <f t="shared" si="0"/>
        <v>140</v>
      </c>
      <c r="P15" s="68">
        <f t="shared" si="0"/>
        <v>145</v>
      </c>
      <c r="Q15" s="74">
        <f t="shared" ref="Q15" si="4">SUM(E15:P15)</f>
        <v>1456</v>
      </c>
      <c r="R15" s="68">
        <f t="shared" si="1"/>
        <v>150</v>
      </c>
      <c r="S15" s="68">
        <f t="shared" si="0"/>
        <v>155</v>
      </c>
      <c r="T15" s="68">
        <f t="shared" si="0"/>
        <v>160</v>
      </c>
      <c r="U15" s="68">
        <f t="shared" si="0"/>
        <v>165</v>
      </c>
      <c r="V15" s="68">
        <f t="shared" si="0"/>
        <v>170</v>
      </c>
      <c r="W15" s="68">
        <f t="shared" si="0"/>
        <v>176</v>
      </c>
    </row>
    <row r="16" spans="1:25" s="48" customFormat="1">
      <c r="A16" s="141"/>
      <c r="B16" s="138" t="s">
        <v>240</v>
      </c>
      <c r="C16" s="138"/>
      <c r="D16" s="139"/>
      <c r="E16" s="69">
        <f t="shared" ref="E16:W16" si="5">SUM(E4:E15)</f>
        <v>2675</v>
      </c>
      <c r="F16" s="69">
        <f t="shared" si="5"/>
        <v>2756</v>
      </c>
      <c r="G16" s="69">
        <f t="shared" si="5"/>
        <v>2843</v>
      </c>
      <c r="H16" s="69">
        <f t="shared" si="5"/>
        <v>2930</v>
      </c>
      <c r="I16" s="69">
        <f t="shared" si="5"/>
        <v>3022</v>
      </c>
      <c r="J16" s="69">
        <f t="shared" si="5"/>
        <v>3114</v>
      </c>
      <c r="K16" s="69">
        <f t="shared" si="5"/>
        <v>3211</v>
      </c>
      <c r="L16" s="69">
        <f t="shared" si="5"/>
        <v>3308</v>
      </c>
      <c r="M16" s="69">
        <f t="shared" si="5"/>
        <v>3410</v>
      </c>
      <c r="N16" s="69">
        <f t="shared" si="5"/>
        <v>3517</v>
      </c>
      <c r="O16" s="69">
        <f t="shared" si="5"/>
        <v>3626</v>
      </c>
      <c r="P16" s="69">
        <f t="shared" si="5"/>
        <v>3740</v>
      </c>
      <c r="Q16" s="69">
        <f t="shared" si="5"/>
        <v>38152</v>
      </c>
      <c r="R16" s="69">
        <f t="shared" si="5"/>
        <v>3854</v>
      </c>
      <c r="S16" s="69">
        <f t="shared" si="5"/>
        <v>3973</v>
      </c>
      <c r="T16" s="69">
        <f t="shared" si="5"/>
        <v>4097</v>
      </c>
      <c r="U16" s="69">
        <f t="shared" si="5"/>
        <v>4221</v>
      </c>
      <c r="V16" s="69">
        <f t="shared" si="5"/>
        <v>4350</v>
      </c>
      <c r="W16" s="69">
        <f t="shared" si="5"/>
        <v>4485</v>
      </c>
    </row>
    <row r="17" spans="1:47">
      <c r="A17" s="141"/>
      <c r="B17" t="s">
        <v>228</v>
      </c>
      <c r="C17" s="61">
        <v>5</v>
      </c>
      <c r="D17" s="62">
        <v>0.9</v>
      </c>
      <c r="E17" s="68">
        <v>50</v>
      </c>
      <c r="F17" s="68">
        <f t="shared" si="2"/>
        <v>52</v>
      </c>
      <c r="G17" s="68">
        <f t="shared" si="0"/>
        <v>54</v>
      </c>
      <c r="H17" s="68">
        <f t="shared" si="0"/>
        <v>56</v>
      </c>
      <c r="I17" s="68">
        <f t="shared" si="0"/>
        <v>58</v>
      </c>
      <c r="J17" s="68">
        <f t="shared" si="0"/>
        <v>60</v>
      </c>
      <c r="K17" s="68">
        <f t="shared" si="0"/>
        <v>62</v>
      </c>
      <c r="L17" s="68">
        <f t="shared" si="0"/>
        <v>64</v>
      </c>
      <c r="M17" s="68">
        <f t="shared" si="0"/>
        <v>66</v>
      </c>
      <c r="N17" s="68">
        <f t="shared" si="0"/>
        <v>68</v>
      </c>
      <c r="O17" s="68">
        <f t="shared" si="0"/>
        <v>71</v>
      </c>
      <c r="P17" s="68">
        <f t="shared" si="0"/>
        <v>74</v>
      </c>
      <c r="Q17" s="74">
        <f t="shared" si="3"/>
        <v>735</v>
      </c>
      <c r="R17" s="68">
        <f>ROUNDUP(P17*1.03,0)</f>
        <v>77</v>
      </c>
      <c r="S17" s="68">
        <f t="shared" si="0"/>
        <v>80</v>
      </c>
      <c r="T17" s="68">
        <f t="shared" si="0"/>
        <v>83</v>
      </c>
      <c r="U17" s="68">
        <f t="shared" si="0"/>
        <v>86</v>
      </c>
      <c r="V17" s="68">
        <f t="shared" si="0"/>
        <v>89</v>
      </c>
      <c r="W17" s="68">
        <f t="shared" si="0"/>
        <v>92</v>
      </c>
    </row>
    <row r="18" spans="1:47">
      <c r="A18" s="141"/>
      <c r="B18" t="s">
        <v>229</v>
      </c>
      <c r="C18" s="61">
        <v>25</v>
      </c>
      <c r="D18" s="62">
        <v>15</v>
      </c>
      <c r="E18" s="68">
        <v>25</v>
      </c>
      <c r="F18" s="68">
        <f t="shared" si="2"/>
        <v>26</v>
      </c>
      <c r="G18" s="68">
        <f t="shared" si="0"/>
        <v>27</v>
      </c>
      <c r="H18" s="68">
        <f t="shared" si="0"/>
        <v>28</v>
      </c>
      <c r="I18" s="68">
        <f t="shared" si="0"/>
        <v>29</v>
      </c>
      <c r="J18" s="68">
        <f t="shared" si="0"/>
        <v>30</v>
      </c>
      <c r="K18" s="68">
        <f t="shared" si="0"/>
        <v>31</v>
      </c>
      <c r="L18" s="68">
        <f t="shared" si="0"/>
        <v>32</v>
      </c>
      <c r="M18" s="68">
        <f t="shared" si="0"/>
        <v>33</v>
      </c>
      <c r="N18" s="68">
        <f t="shared" si="0"/>
        <v>34</v>
      </c>
      <c r="O18" s="68">
        <f t="shared" si="0"/>
        <v>36</v>
      </c>
      <c r="P18" s="68">
        <f t="shared" si="0"/>
        <v>38</v>
      </c>
      <c r="Q18" s="74">
        <f t="shared" si="3"/>
        <v>369</v>
      </c>
      <c r="R18" s="68">
        <f>ROUNDUP(P18*1.03,0)</f>
        <v>40</v>
      </c>
      <c r="S18" s="68">
        <f t="shared" si="0"/>
        <v>42</v>
      </c>
      <c r="T18" s="68">
        <f t="shared" si="0"/>
        <v>44</v>
      </c>
      <c r="U18" s="68">
        <f t="shared" si="0"/>
        <v>46</v>
      </c>
      <c r="V18" s="68">
        <f t="shared" si="0"/>
        <v>48</v>
      </c>
      <c r="W18" s="68">
        <f t="shared" si="0"/>
        <v>50</v>
      </c>
    </row>
    <row r="19" spans="1:47">
      <c r="A19" s="141"/>
      <c r="B19" t="s">
        <v>230</v>
      </c>
      <c r="C19" s="61">
        <v>12</v>
      </c>
      <c r="D19" s="62">
        <v>5</v>
      </c>
      <c r="E19" s="68">
        <v>25</v>
      </c>
      <c r="F19" s="68">
        <f t="shared" si="2"/>
        <v>26</v>
      </c>
      <c r="G19" s="68">
        <f t="shared" si="0"/>
        <v>27</v>
      </c>
      <c r="H19" s="68">
        <f t="shared" si="0"/>
        <v>28</v>
      </c>
      <c r="I19" s="68">
        <f t="shared" si="0"/>
        <v>29</v>
      </c>
      <c r="J19" s="68">
        <f t="shared" si="0"/>
        <v>30</v>
      </c>
      <c r="K19" s="68">
        <f t="shared" si="0"/>
        <v>31</v>
      </c>
      <c r="L19" s="68">
        <f t="shared" si="0"/>
        <v>32</v>
      </c>
      <c r="M19" s="68">
        <f t="shared" si="0"/>
        <v>33</v>
      </c>
      <c r="N19" s="68">
        <f t="shared" si="0"/>
        <v>34</v>
      </c>
      <c r="O19" s="68">
        <f t="shared" si="0"/>
        <v>36</v>
      </c>
      <c r="P19" s="68">
        <f t="shared" si="0"/>
        <v>38</v>
      </c>
      <c r="Q19" s="74">
        <f t="shared" si="3"/>
        <v>369</v>
      </c>
      <c r="R19" s="68">
        <f>ROUNDUP(P19*1.03,0)</f>
        <v>40</v>
      </c>
      <c r="S19" s="68">
        <f t="shared" si="0"/>
        <v>42</v>
      </c>
      <c r="T19" s="68">
        <f t="shared" si="0"/>
        <v>44</v>
      </c>
      <c r="U19" s="68">
        <f t="shared" si="0"/>
        <v>46</v>
      </c>
      <c r="V19" s="68">
        <f t="shared" si="0"/>
        <v>48</v>
      </c>
      <c r="W19" s="68">
        <f t="shared" si="0"/>
        <v>50</v>
      </c>
    </row>
    <row r="20" spans="1:47">
      <c r="A20" s="141"/>
      <c r="B20" t="s">
        <v>231</v>
      </c>
      <c r="C20" s="61">
        <v>3.5</v>
      </c>
      <c r="D20" s="62">
        <v>0.5</v>
      </c>
      <c r="E20" s="68">
        <v>50</v>
      </c>
      <c r="F20" s="68">
        <f t="shared" si="2"/>
        <v>52</v>
      </c>
      <c r="G20" s="68">
        <f t="shared" si="0"/>
        <v>54</v>
      </c>
      <c r="H20" s="68">
        <f t="shared" si="0"/>
        <v>56</v>
      </c>
      <c r="I20" s="68">
        <f t="shared" si="0"/>
        <v>58</v>
      </c>
      <c r="J20" s="68">
        <f t="shared" si="0"/>
        <v>60</v>
      </c>
      <c r="K20" s="68">
        <f t="shared" si="0"/>
        <v>62</v>
      </c>
      <c r="L20" s="68">
        <f t="shared" si="0"/>
        <v>64</v>
      </c>
      <c r="M20" s="68">
        <f t="shared" si="0"/>
        <v>66</v>
      </c>
      <c r="N20" s="68">
        <f t="shared" si="0"/>
        <v>68</v>
      </c>
      <c r="O20" s="68">
        <f t="shared" si="0"/>
        <v>71</v>
      </c>
      <c r="P20" s="68">
        <f t="shared" si="0"/>
        <v>74</v>
      </c>
      <c r="Q20" s="74">
        <f t="shared" si="3"/>
        <v>735</v>
      </c>
      <c r="R20" s="68">
        <f>ROUNDUP(P20*1.03,0)</f>
        <v>77</v>
      </c>
      <c r="S20" s="68">
        <f t="shared" si="0"/>
        <v>80</v>
      </c>
      <c r="T20" s="68">
        <f t="shared" si="0"/>
        <v>83</v>
      </c>
      <c r="U20" s="68">
        <f t="shared" si="0"/>
        <v>86</v>
      </c>
      <c r="V20" s="68">
        <f t="shared" si="0"/>
        <v>89</v>
      </c>
      <c r="W20" s="68">
        <f t="shared" si="0"/>
        <v>92</v>
      </c>
    </row>
    <row r="21" spans="1:47" s="59" customFormat="1" ht="16" thickBot="1">
      <c r="A21" s="142"/>
      <c r="B21" s="130" t="s">
        <v>241</v>
      </c>
      <c r="C21" s="130"/>
      <c r="D21" s="131"/>
      <c r="E21" s="70">
        <f>SUM(E17:E20)</f>
        <v>150</v>
      </c>
      <c r="F21" s="70">
        <f t="shared" ref="F21:W21" si="6">SUM(F17:F20)</f>
        <v>156</v>
      </c>
      <c r="G21" s="70">
        <f t="shared" si="6"/>
        <v>162</v>
      </c>
      <c r="H21" s="70">
        <f t="shared" si="6"/>
        <v>168</v>
      </c>
      <c r="I21" s="70">
        <f t="shared" si="6"/>
        <v>174</v>
      </c>
      <c r="J21" s="70">
        <f t="shared" si="6"/>
        <v>180</v>
      </c>
      <c r="K21" s="70">
        <f t="shared" si="6"/>
        <v>186</v>
      </c>
      <c r="L21" s="70">
        <f t="shared" si="6"/>
        <v>192</v>
      </c>
      <c r="M21" s="70">
        <f t="shared" si="6"/>
        <v>198</v>
      </c>
      <c r="N21" s="70">
        <f t="shared" si="6"/>
        <v>204</v>
      </c>
      <c r="O21" s="70">
        <f t="shared" si="6"/>
        <v>214</v>
      </c>
      <c r="P21" s="70">
        <f t="shared" si="6"/>
        <v>224</v>
      </c>
      <c r="Q21" s="75">
        <f t="shared" si="3"/>
        <v>2208</v>
      </c>
      <c r="R21" s="70">
        <f t="shared" si="6"/>
        <v>234</v>
      </c>
      <c r="S21" s="70">
        <f t="shared" si="6"/>
        <v>244</v>
      </c>
      <c r="T21" s="70">
        <f t="shared" si="6"/>
        <v>254</v>
      </c>
      <c r="U21" s="70">
        <f t="shared" si="6"/>
        <v>264</v>
      </c>
      <c r="V21" s="70">
        <f t="shared" si="6"/>
        <v>274</v>
      </c>
      <c r="W21" s="70">
        <f t="shared" si="6"/>
        <v>284</v>
      </c>
    </row>
    <row r="22" spans="1:47" s="54" customFormat="1">
      <c r="A22" s="50"/>
      <c r="B22" s="51" t="s">
        <v>252</v>
      </c>
      <c r="C22" s="51"/>
      <c r="D22" s="52"/>
      <c r="E22" s="71">
        <f>SUM(E16,E21)</f>
        <v>2825</v>
      </c>
      <c r="F22" s="71">
        <f t="shared" ref="F22:W22" si="7">SUM(F16,F21)</f>
        <v>2912</v>
      </c>
      <c r="G22" s="71">
        <f t="shared" si="7"/>
        <v>3005</v>
      </c>
      <c r="H22" s="71">
        <f t="shared" si="7"/>
        <v>3098</v>
      </c>
      <c r="I22" s="71">
        <f t="shared" si="7"/>
        <v>3196</v>
      </c>
      <c r="J22" s="71">
        <f t="shared" si="7"/>
        <v>3294</v>
      </c>
      <c r="K22" s="71">
        <f t="shared" si="7"/>
        <v>3397</v>
      </c>
      <c r="L22" s="71">
        <f t="shared" si="7"/>
        <v>3500</v>
      </c>
      <c r="M22" s="71">
        <f t="shared" si="7"/>
        <v>3608</v>
      </c>
      <c r="N22" s="71">
        <f t="shared" si="7"/>
        <v>3721</v>
      </c>
      <c r="O22" s="71">
        <f t="shared" si="7"/>
        <v>3840</v>
      </c>
      <c r="P22" s="71">
        <f t="shared" si="7"/>
        <v>3964</v>
      </c>
      <c r="Q22" s="76">
        <f t="shared" si="3"/>
        <v>40360</v>
      </c>
      <c r="R22" s="71">
        <f t="shared" si="7"/>
        <v>4088</v>
      </c>
      <c r="S22" s="71">
        <f t="shared" si="7"/>
        <v>4217</v>
      </c>
      <c r="T22" s="71">
        <f t="shared" si="7"/>
        <v>4351</v>
      </c>
      <c r="U22" s="71">
        <f t="shared" si="7"/>
        <v>4485</v>
      </c>
      <c r="V22" s="71">
        <f t="shared" si="7"/>
        <v>4624</v>
      </c>
      <c r="W22" s="71">
        <f t="shared" si="7"/>
        <v>4769</v>
      </c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</row>
    <row r="23" spans="1:47" ht="15" customHeight="1">
      <c r="A23" s="140" t="s">
        <v>253</v>
      </c>
      <c r="B23" t="s">
        <v>424</v>
      </c>
      <c r="C23" s="1">
        <f>VLOOKUP(B23,$B$4:$D$20,2,FALSE)</f>
        <v>7</v>
      </c>
      <c r="D23" s="47">
        <f>VLOOKUP(B23,$B$4:$D$20,3,FALSE)</f>
        <v>0.86716467828124999</v>
      </c>
      <c r="E23" s="63">
        <f t="shared" ref="E23:P23" si="8">$C23*E4</f>
        <v>3500</v>
      </c>
      <c r="F23" s="63">
        <f t="shared" si="8"/>
        <v>3605</v>
      </c>
      <c r="G23" s="63">
        <f t="shared" si="8"/>
        <v>3717</v>
      </c>
      <c r="H23" s="63">
        <f t="shared" si="8"/>
        <v>3829</v>
      </c>
      <c r="I23" s="63">
        <f t="shared" si="8"/>
        <v>3948</v>
      </c>
      <c r="J23" s="63">
        <f t="shared" si="8"/>
        <v>4067</v>
      </c>
      <c r="K23" s="63">
        <f t="shared" si="8"/>
        <v>4193</v>
      </c>
      <c r="L23" s="63">
        <f t="shared" si="8"/>
        <v>4319</v>
      </c>
      <c r="M23" s="63">
        <f t="shared" si="8"/>
        <v>4452</v>
      </c>
      <c r="N23" s="63">
        <f t="shared" si="8"/>
        <v>4592</v>
      </c>
      <c r="O23" s="63">
        <f t="shared" si="8"/>
        <v>4732</v>
      </c>
      <c r="P23" s="63">
        <f t="shared" si="8"/>
        <v>4879</v>
      </c>
      <c r="Q23" s="74">
        <f>SUM(E23:P23)</f>
        <v>49833</v>
      </c>
      <c r="R23" s="63">
        <f t="shared" ref="R23:W27" si="9">$C23*R4</f>
        <v>5026</v>
      </c>
      <c r="S23" s="63">
        <f t="shared" si="9"/>
        <v>5180</v>
      </c>
      <c r="T23" s="63">
        <f t="shared" si="9"/>
        <v>5341</v>
      </c>
      <c r="U23" s="63">
        <f t="shared" si="9"/>
        <v>5502</v>
      </c>
      <c r="V23" s="63">
        <f t="shared" si="9"/>
        <v>5670</v>
      </c>
      <c r="W23" s="63">
        <f t="shared" si="9"/>
        <v>5845</v>
      </c>
    </row>
    <row r="24" spans="1:47">
      <c r="A24" s="141"/>
      <c r="B24" t="s">
        <v>300</v>
      </c>
      <c r="C24" s="1">
        <f>VLOOKUP(B24,$B$4:$D$20,2,FALSE)</f>
        <v>7</v>
      </c>
      <c r="D24" s="47">
        <f>VLOOKUP(B24,$B$4:$D$20,3,FALSE)</f>
        <v>0.93130217828125017</v>
      </c>
      <c r="E24" s="63">
        <f t="shared" ref="E24:P24" si="10">$C24*E5</f>
        <v>3500</v>
      </c>
      <c r="F24" s="63">
        <f t="shared" si="10"/>
        <v>3605</v>
      </c>
      <c r="G24" s="63">
        <f t="shared" si="10"/>
        <v>3717</v>
      </c>
      <c r="H24" s="63">
        <f t="shared" si="10"/>
        <v>3829</v>
      </c>
      <c r="I24" s="63">
        <f t="shared" si="10"/>
        <v>3948</v>
      </c>
      <c r="J24" s="63">
        <f t="shared" si="10"/>
        <v>4067</v>
      </c>
      <c r="K24" s="63">
        <f t="shared" si="10"/>
        <v>4193</v>
      </c>
      <c r="L24" s="63">
        <f t="shared" si="10"/>
        <v>4319</v>
      </c>
      <c r="M24" s="63">
        <f t="shared" si="10"/>
        <v>4452</v>
      </c>
      <c r="N24" s="63">
        <f t="shared" si="10"/>
        <v>4592</v>
      </c>
      <c r="O24" s="63">
        <f t="shared" si="10"/>
        <v>4732</v>
      </c>
      <c r="P24" s="63">
        <f t="shared" si="10"/>
        <v>4879</v>
      </c>
      <c r="Q24" s="74">
        <f t="shared" si="3"/>
        <v>49833</v>
      </c>
      <c r="R24" s="63">
        <f t="shared" si="9"/>
        <v>5026</v>
      </c>
      <c r="S24" s="63">
        <f t="shared" si="9"/>
        <v>5180</v>
      </c>
      <c r="T24" s="63">
        <f t="shared" si="9"/>
        <v>5341</v>
      </c>
      <c r="U24" s="63">
        <f t="shared" si="9"/>
        <v>5502</v>
      </c>
      <c r="V24" s="63">
        <f t="shared" si="9"/>
        <v>5670</v>
      </c>
      <c r="W24" s="63">
        <f t="shared" si="9"/>
        <v>5845</v>
      </c>
    </row>
    <row r="25" spans="1:47">
      <c r="A25" s="141"/>
      <c r="B25" t="s">
        <v>7</v>
      </c>
      <c r="C25" s="1">
        <f>VLOOKUP(B25,$B$4:$D$20,2,FALSE)</f>
        <v>7</v>
      </c>
      <c r="D25" s="47">
        <f>VLOOKUP(B25,$B$4:$D$20,3,FALSE)</f>
        <v>0.87037334752604167</v>
      </c>
      <c r="E25" s="63">
        <f t="shared" ref="E25:P25" si="11">$C25*E6</f>
        <v>3500</v>
      </c>
      <c r="F25" s="63">
        <f t="shared" si="11"/>
        <v>3605</v>
      </c>
      <c r="G25" s="63">
        <f t="shared" si="11"/>
        <v>3717</v>
      </c>
      <c r="H25" s="63">
        <f t="shared" si="11"/>
        <v>3829</v>
      </c>
      <c r="I25" s="63">
        <f t="shared" si="11"/>
        <v>3948</v>
      </c>
      <c r="J25" s="63">
        <f t="shared" si="11"/>
        <v>4067</v>
      </c>
      <c r="K25" s="63">
        <f t="shared" si="11"/>
        <v>4193</v>
      </c>
      <c r="L25" s="63">
        <f t="shared" si="11"/>
        <v>4319</v>
      </c>
      <c r="M25" s="63">
        <f t="shared" si="11"/>
        <v>4452</v>
      </c>
      <c r="N25" s="63">
        <f t="shared" si="11"/>
        <v>4592</v>
      </c>
      <c r="O25" s="63">
        <f t="shared" si="11"/>
        <v>4732</v>
      </c>
      <c r="P25" s="63">
        <f t="shared" si="11"/>
        <v>4879</v>
      </c>
      <c r="Q25" s="74">
        <f t="shared" si="3"/>
        <v>49833</v>
      </c>
      <c r="R25" s="63">
        <f t="shared" si="9"/>
        <v>5026</v>
      </c>
      <c r="S25" s="63">
        <f t="shared" si="9"/>
        <v>5180</v>
      </c>
      <c r="T25" s="63">
        <f t="shared" si="9"/>
        <v>5341</v>
      </c>
      <c r="U25" s="63">
        <f t="shared" si="9"/>
        <v>5502</v>
      </c>
      <c r="V25" s="63">
        <f t="shared" si="9"/>
        <v>5670</v>
      </c>
      <c r="W25" s="63">
        <f t="shared" si="9"/>
        <v>5845</v>
      </c>
    </row>
    <row r="26" spans="1:47">
      <c r="A26" s="141"/>
      <c r="B26" t="s">
        <v>423</v>
      </c>
      <c r="C26" s="1">
        <f>VLOOKUP(B26,$B$4:$D$20,2,FALSE)</f>
        <v>7</v>
      </c>
      <c r="D26" s="47">
        <f>VLOOKUP(B26,$B$4:$D$20,3,FALSE)</f>
        <v>0.75699062292038688</v>
      </c>
      <c r="E26" s="63">
        <f t="shared" ref="E26:P26" si="12">$C26*E7</f>
        <v>3500</v>
      </c>
      <c r="F26" s="63">
        <f t="shared" si="12"/>
        <v>3605</v>
      </c>
      <c r="G26" s="63">
        <f t="shared" si="12"/>
        <v>3717</v>
      </c>
      <c r="H26" s="63">
        <f t="shared" si="12"/>
        <v>3829</v>
      </c>
      <c r="I26" s="63">
        <f t="shared" si="12"/>
        <v>3948</v>
      </c>
      <c r="J26" s="63">
        <f t="shared" si="12"/>
        <v>4067</v>
      </c>
      <c r="K26" s="63">
        <f t="shared" si="12"/>
        <v>4193</v>
      </c>
      <c r="L26" s="63">
        <f t="shared" si="12"/>
        <v>4319</v>
      </c>
      <c r="M26" s="63">
        <f t="shared" si="12"/>
        <v>4452</v>
      </c>
      <c r="N26" s="63">
        <f t="shared" si="12"/>
        <v>4592</v>
      </c>
      <c r="O26" s="63">
        <f t="shared" si="12"/>
        <v>4732</v>
      </c>
      <c r="P26" s="63">
        <f t="shared" si="12"/>
        <v>4879</v>
      </c>
      <c r="Q26" s="74">
        <f t="shared" si="3"/>
        <v>49833</v>
      </c>
      <c r="R26" s="63">
        <f t="shared" si="9"/>
        <v>5026</v>
      </c>
      <c r="S26" s="63">
        <f t="shared" si="9"/>
        <v>5180</v>
      </c>
      <c r="T26" s="63">
        <f t="shared" si="9"/>
        <v>5341</v>
      </c>
      <c r="U26" s="63">
        <f t="shared" si="9"/>
        <v>5502</v>
      </c>
      <c r="V26" s="63">
        <f t="shared" si="9"/>
        <v>5670</v>
      </c>
      <c r="W26" s="63">
        <f t="shared" si="9"/>
        <v>5845</v>
      </c>
    </row>
    <row r="27" spans="1:47">
      <c r="A27" s="141"/>
      <c r="B27" t="s">
        <v>238</v>
      </c>
      <c r="C27" s="1">
        <f>VLOOKUP(B27,$B$4:$D$20,2,FALSE)</f>
        <v>5.25</v>
      </c>
      <c r="D27" s="47">
        <f>VLOOKUP(B27,$B$4:$D$20,3,FALSE)</f>
        <v>0.71875000000000011</v>
      </c>
      <c r="E27" s="63">
        <f t="shared" ref="E27:P27" si="13">$C27*E8</f>
        <v>2625</v>
      </c>
      <c r="F27" s="63">
        <f t="shared" si="13"/>
        <v>2703.75</v>
      </c>
      <c r="G27" s="63">
        <f t="shared" si="13"/>
        <v>2787.75</v>
      </c>
      <c r="H27" s="63">
        <f t="shared" si="13"/>
        <v>2871.75</v>
      </c>
      <c r="I27" s="63">
        <f t="shared" si="13"/>
        <v>2961</v>
      </c>
      <c r="J27" s="63">
        <f t="shared" si="13"/>
        <v>3050.25</v>
      </c>
      <c r="K27" s="63">
        <f t="shared" si="13"/>
        <v>3144.75</v>
      </c>
      <c r="L27" s="63">
        <f t="shared" si="13"/>
        <v>3239.25</v>
      </c>
      <c r="M27" s="63">
        <f t="shared" si="13"/>
        <v>3339</v>
      </c>
      <c r="N27" s="63">
        <f t="shared" si="13"/>
        <v>3444</v>
      </c>
      <c r="O27" s="63">
        <f t="shared" si="13"/>
        <v>3549</v>
      </c>
      <c r="P27" s="63">
        <f t="shared" si="13"/>
        <v>3659.25</v>
      </c>
      <c r="Q27" s="74">
        <f t="shared" si="3"/>
        <v>37374.75</v>
      </c>
      <c r="R27" s="63">
        <f t="shared" si="9"/>
        <v>3769.5</v>
      </c>
      <c r="S27" s="63">
        <f t="shared" si="9"/>
        <v>3885</v>
      </c>
      <c r="T27" s="63">
        <f t="shared" si="9"/>
        <v>4005.75</v>
      </c>
      <c r="U27" s="63">
        <f t="shared" si="9"/>
        <v>4126.5</v>
      </c>
      <c r="V27" s="63">
        <f t="shared" si="9"/>
        <v>4252.5</v>
      </c>
      <c r="W27" s="63">
        <f t="shared" si="9"/>
        <v>4383.75</v>
      </c>
    </row>
    <row r="28" spans="1:47">
      <c r="A28" s="141"/>
      <c r="C28" s="1" t="e">
        <f t="shared" ref="C28:C32" si="14">VLOOKUP(B28,$B$4:$D$20,2,FALSE)</f>
        <v>#N/A</v>
      </c>
      <c r="D28" s="47" t="e">
        <f t="shared" ref="D28:D32" si="15">VLOOKUP(B28,$B$4:$D$20,3,FALSE)</f>
        <v>#N/A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74"/>
      <c r="R28" s="63"/>
      <c r="S28" s="63"/>
      <c r="T28" s="63"/>
      <c r="U28" s="63"/>
      <c r="V28" s="63"/>
      <c r="W28" s="63"/>
    </row>
    <row r="29" spans="1:47">
      <c r="A29" s="141"/>
      <c r="C29" s="1" t="e">
        <f t="shared" si="14"/>
        <v>#N/A</v>
      </c>
      <c r="D29" s="47" t="e">
        <f t="shared" si="15"/>
        <v>#N/A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74"/>
      <c r="R29" s="63"/>
      <c r="S29" s="63"/>
      <c r="T29" s="63"/>
      <c r="U29" s="63"/>
      <c r="V29" s="63"/>
      <c r="W29" s="63"/>
    </row>
    <row r="30" spans="1:47">
      <c r="A30" s="141"/>
      <c r="C30" s="1" t="e">
        <f t="shared" si="14"/>
        <v>#N/A</v>
      </c>
      <c r="D30" s="47" t="e">
        <f t="shared" si="15"/>
        <v>#N/A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74"/>
      <c r="R30" s="63"/>
      <c r="S30" s="63"/>
      <c r="T30" s="63"/>
      <c r="U30" s="63"/>
      <c r="V30" s="63"/>
      <c r="W30" s="63"/>
    </row>
    <row r="31" spans="1:47">
      <c r="A31" s="141"/>
      <c r="C31" s="1" t="e">
        <f t="shared" si="14"/>
        <v>#N/A</v>
      </c>
      <c r="D31" s="47" t="e">
        <f t="shared" si="15"/>
        <v>#N/A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74"/>
      <c r="R31" s="63"/>
      <c r="S31" s="63"/>
      <c r="T31" s="63"/>
      <c r="U31" s="63"/>
      <c r="V31" s="63"/>
      <c r="W31" s="63"/>
    </row>
    <row r="32" spans="1:47">
      <c r="A32" s="141"/>
      <c r="C32" s="1" t="e">
        <f t="shared" si="14"/>
        <v>#N/A</v>
      </c>
      <c r="D32" s="47" t="e">
        <f t="shared" si="15"/>
        <v>#N/A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74"/>
      <c r="R32" s="63"/>
      <c r="S32" s="63"/>
      <c r="T32" s="63"/>
      <c r="U32" s="63"/>
      <c r="V32" s="63"/>
      <c r="W32" s="63"/>
    </row>
    <row r="33" spans="1:47">
      <c r="A33" s="141"/>
      <c r="B33" t="s">
        <v>239</v>
      </c>
      <c r="C33" s="1">
        <f>VLOOKUP(B33,$B$4:$D$20,2,FALSE)</f>
        <v>4</v>
      </c>
      <c r="D33" s="47">
        <f>VLOOKUP(B33,$B$4:$D$20,3,FALSE)</f>
        <v>0.8</v>
      </c>
      <c r="E33" s="63">
        <f t="shared" ref="E33:P33" si="16">$C33*E14</f>
        <v>300</v>
      </c>
      <c r="F33" s="63">
        <f t="shared" si="16"/>
        <v>312</v>
      </c>
      <c r="G33" s="63">
        <f t="shared" si="16"/>
        <v>324</v>
      </c>
      <c r="H33" s="63">
        <f t="shared" si="16"/>
        <v>336</v>
      </c>
      <c r="I33" s="63">
        <f t="shared" si="16"/>
        <v>348</v>
      </c>
      <c r="J33" s="63">
        <f t="shared" si="16"/>
        <v>360</v>
      </c>
      <c r="K33" s="63">
        <f t="shared" si="16"/>
        <v>372</v>
      </c>
      <c r="L33" s="63">
        <f t="shared" si="16"/>
        <v>384</v>
      </c>
      <c r="M33" s="63">
        <f t="shared" si="16"/>
        <v>396</v>
      </c>
      <c r="N33" s="63">
        <f t="shared" si="16"/>
        <v>408</v>
      </c>
      <c r="O33" s="63">
        <f t="shared" si="16"/>
        <v>424</v>
      </c>
      <c r="P33" s="63">
        <f t="shared" si="16"/>
        <v>440</v>
      </c>
      <c r="Q33" s="74">
        <f t="shared" si="3"/>
        <v>4404</v>
      </c>
      <c r="R33" s="63">
        <f t="shared" ref="R33:W34" si="17">$C33*R14</f>
        <v>456</v>
      </c>
      <c r="S33" s="63">
        <f t="shared" si="17"/>
        <v>472</v>
      </c>
      <c r="T33" s="63">
        <f t="shared" si="17"/>
        <v>488</v>
      </c>
      <c r="U33" s="63">
        <f t="shared" si="17"/>
        <v>504</v>
      </c>
      <c r="V33" s="63">
        <f t="shared" si="17"/>
        <v>520</v>
      </c>
      <c r="W33" s="63">
        <f t="shared" si="17"/>
        <v>536</v>
      </c>
    </row>
    <row r="34" spans="1:47">
      <c r="A34" s="141"/>
      <c r="B34" t="s">
        <v>270</v>
      </c>
      <c r="C34" s="1">
        <f>VLOOKUP(B34,$B$4:$D$20,2,FALSE)</f>
        <v>1</v>
      </c>
      <c r="D34" s="47">
        <f>VLOOKUP(B34,$B$4:$D$20,3,FALSE)</f>
        <v>0.3</v>
      </c>
      <c r="E34" s="63">
        <f t="shared" ref="E34:P34" si="18">$C34*E15</f>
        <v>100</v>
      </c>
      <c r="F34" s="63">
        <f t="shared" si="18"/>
        <v>103</v>
      </c>
      <c r="G34" s="63">
        <f t="shared" si="18"/>
        <v>107</v>
      </c>
      <c r="H34" s="63">
        <f t="shared" si="18"/>
        <v>111</v>
      </c>
      <c r="I34" s="63">
        <f t="shared" si="18"/>
        <v>115</v>
      </c>
      <c r="J34" s="63">
        <f t="shared" si="18"/>
        <v>119</v>
      </c>
      <c r="K34" s="63">
        <f t="shared" si="18"/>
        <v>123</v>
      </c>
      <c r="L34" s="63">
        <f t="shared" si="18"/>
        <v>127</v>
      </c>
      <c r="M34" s="63">
        <f t="shared" si="18"/>
        <v>131</v>
      </c>
      <c r="N34" s="63">
        <f t="shared" si="18"/>
        <v>135</v>
      </c>
      <c r="O34" s="63">
        <f t="shared" si="18"/>
        <v>140</v>
      </c>
      <c r="P34" s="63">
        <f t="shared" si="18"/>
        <v>145</v>
      </c>
      <c r="Q34" s="74">
        <f t="shared" ref="Q34" si="19">SUM(E34:P34)</f>
        <v>1456</v>
      </c>
      <c r="R34" s="63">
        <f t="shared" si="17"/>
        <v>150</v>
      </c>
      <c r="S34" s="63">
        <f t="shared" si="17"/>
        <v>155</v>
      </c>
      <c r="T34" s="63">
        <f t="shared" si="17"/>
        <v>160</v>
      </c>
      <c r="U34" s="63">
        <f t="shared" si="17"/>
        <v>165</v>
      </c>
      <c r="V34" s="63">
        <f t="shared" si="17"/>
        <v>170</v>
      </c>
      <c r="W34" s="63">
        <f t="shared" si="17"/>
        <v>176</v>
      </c>
    </row>
    <row r="35" spans="1:47" s="48" customFormat="1">
      <c r="A35" s="141"/>
      <c r="B35" s="138" t="s">
        <v>240</v>
      </c>
      <c r="C35" s="138"/>
      <c r="D35" s="139"/>
      <c r="E35" s="64">
        <f>SUM(E23:E34)</f>
        <v>17025</v>
      </c>
      <c r="F35" s="64">
        <f t="shared" ref="F35:W35" si="20">SUM(F23:F34)</f>
        <v>17538.75</v>
      </c>
      <c r="G35" s="64">
        <f t="shared" si="20"/>
        <v>18086.75</v>
      </c>
      <c r="H35" s="64">
        <f t="shared" si="20"/>
        <v>18634.75</v>
      </c>
      <c r="I35" s="64">
        <f t="shared" si="20"/>
        <v>19216</v>
      </c>
      <c r="J35" s="64">
        <f t="shared" si="20"/>
        <v>19797.25</v>
      </c>
      <c r="K35" s="64">
        <f t="shared" si="20"/>
        <v>20411.75</v>
      </c>
      <c r="L35" s="64">
        <f t="shared" si="20"/>
        <v>21026.25</v>
      </c>
      <c r="M35" s="64">
        <f t="shared" si="20"/>
        <v>21674</v>
      </c>
      <c r="N35" s="64">
        <f t="shared" si="20"/>
        <v>22355</v>
      </c>
      <c r="O35" s="64">
        <f t="shared" si="20"/>
        <v>23041</v>
      </c>
      <c r="P35" s="64">
        <f t="shared" si="20"/>
        <v>23760.25</v>
      </c>
      <c r="Q35" s="64">
        <f t="shared" si="20"/>
        <v>242566.75</v>
      </c>
      <c r="R35" s="64">
        <f t="shared" si="20"/>
        <v>24479.5</v>
      </c>
      <c r="S35" s="64">
        <f t="shared" si="20"/>
        <v>25232</v>
      </c>
      <c r="T35" s="64">
        <f t="shared" si="20"/>
        <v>26017.75</v>
      </c>
      <c r="U35" s="64">
        <f t="shared" si="20"/>
        <v>26803.5</v>
      </c>
      <c r="V35" s="64">
        <f t="shared" si="20"/>
        <v>27622.5</v>
      </c>
      <c r="W35" s="64">
        <f t="shared" si="20"/>
        <v>28475.75</v>
      </c>
    </row>
    <row r="36" spans="1:47">
      <c r="A36" s="141"/>
      <c r="B36" t="s">
        <v>228</v>
      </c>
      <c r="C36" s="1">
        <f>VLOOKUP(B36,$B$4:$D$20,2,FALSE)</f>
        <v>5</v>
      </c>
      <c r="D36" s="47">
        <f>VLOOKUP(B36,$B$4:$D$20,3,FALSE)</f>
        <v>0.9</v>
      </c>
      <c r="E36" s="63">
        <f>$C36*E17</f>
        <v>250</v>
      </c>
      <c r="F36" s="63">
        <f t="shared" ref="F36:N36" si="21">$C36*F17</f>
        <v>260</v>
      </c>
      <c r="G36" s="63">
        <f t="shared" si="21"/>
        <v>270</v>
      </c>
      <c r="H36" s="63">
        <f t="shared" si="21"/>
        <v>280</v>
      </c>
      <c r="I36" s="63">
        <f t="shared" si="21"/>
        <v>290</v>
      </c>
      <c r="J36" s="63">
        <f t="shared" si="21"/>
        <v>300</v>
      </c>
      <c r="K36" s="63">
        <f t="shared" si="21"/>
        <v>310</v>
      </c>
      <c r="L36" s="63">
        <f t="shared" si="21"/>
        <v>320</v>
      </c>
      <c r="M36" s="63">
        <f t="shared" si="21"/>
        <v>330</v>
      </c>
      <c r="N36" s="63">
        <f t="shared" si="21"/>
        <v>340</v>
      </c>
      <c r="O36" s="63">
        <f>$C36*O17</f>
        <v>355</v>
      </c>
      <c r="P36" s="63">
        <f t="shared" ref="P36:W36" si="22">$C36*P17</f>
        <v>370</v>
      </c>
      <c r="Q36" s="74">
        <f t="shared" si="3"/>
        <v>3675</v>
      </c>
      <c r="R36" s="63">
        <f t="shared" si="22"/>
        <v>385</v>
      </c>
      <c r="S36" s="63">
        <f t="shared" si="22"/>
        <v>400</v>
      </c>
      <c r="T36" s="63">
        <f t="shared" si="22"/>
        <v>415</v>
      </c>
      <c r="U36" s="63">
        <f t="shared" si="22"/>
        <v>430</v>
      </c>
      <c r="V36" s="63">
        <f t="shared" si="22"/>
        <v>445</v>
      </c>
      <c r="W36" s="63">
        <f t="shared" si="22"/>
        <v>460</v>
      </c>
    </row>
    <row r="37" spans="1:47">
      <c r="A37" s="141"/>
      <c r="B37" t="s">
        <v>229</v>
      </c>
      <c r="C37" s="1">
        <f>VLOOKUP(B37,$B$4:$D$20,2,FALSE)</f>
        <v>25</v>
      </c>
      <c r="D37" s="47">
        <f>VLOOKUP(B37,$B$4:$D$20,3,FALSE)</f>
        <v>15</v>
      </c>
      <c r="E37" s="63">
        <f>$C37*E18</f>
        <v>625</v>
      </c>
      <c r="F37" s="63">
        <f t="shared" ref="F37:N37" si="23">$C37*F18</f>
        <v>650</v>
      </c>
      <c r="G37" s="63">
        <f t="shared" si="23"/>
        <v>675</v>
      </c>
      <c r="H37" s="63">
        <f t="shared" si="23"/>
        <v>700</v>
      </c>
      <c r="I37" s="63">
        <f t="shared" si="23"/>
        <v>725</v>
      </c>
      <c r="J37" s="63">
        <f t="shared" si="23"/>
        <v>750</v>
      </c>
      <c r="K37" s="63">
        <f t="shared" si="23"/>
        <v>775</v>
      </c>
      <c r="L37" s="63">
        <f t="shared" si="23"/>
        <v>800</v>
      </c>
      <c r="M37" s="63">
        <f t="shared" si="23"/>
        <v>825</v>
      </c>
      <c r="N37" s="63">
        <f t="shared" si="23"/>
        <v>850</v>
      </c>
      <c r="O37" s="63">
        <f t="shared" ref="O37:W37" si="24">$C37*O18</f>
        <v>900</v>
      </c>
      <c r="P37" s="63">
        <f t="shared" si="24"/>
        <v>950</v>
      </c>
      <c r="Q37" s="74">
        <f t="shared" si="3"/>
        <v>9225</v>
      </c>
      <c r="R37" s="63">
        <f t="shared" si="24"/>
        <v>1000</v>
      </c>
      <c r="S37" s="63">
        <f t="shared" si="24"/>
        <v>1050</v>
      </c>
      <c r="T37" s="63">
        <f t="shared" si="24"/>
        <v>1100</v>
      </c>
      <c r="U37" s="63">
        <f t="shared" si="24"/>
        <v>1150</v>
      </c>
      <c r="V37" s="63">
        <f t="shared" si="24"/>
        <v>1200</v>
      </c>
      <c r="W37" s="63">
        <f t="shared" si="24"/>
        <v>1250</v>
      </c>
    </row>
    <row r="38" spans="1:47">
      <c r="A38" s="141"/>
      <c r="B38" t="s">
        <v>230</v>
      </c>
      <c r="C38" s="1">
        <f>VLOOKUP(B38,$B$4:$D$20,2,FALSE)</f>
        <v>12</v>
      </c>
      <c r="D38" s="47">
        <f>VLOOKUP(B38,$B$4:$D$20,3,FALSE)</f>
        <v>5</v>
      </c>
      <c r="E38" s="63">
        <f>$C38*E19</f>
        <v>300</v>
      </c>
      <c r="F38" s="63">
        <f t="shared" ref="F38:N38" si="25">$C38*F19</f>
        <v>312</v>
      </c>
      <c r="G38" s="63">
        <f t="shared" si="25"/>
        <v>324</v>
      </c>
      <c r="H38" s="63">
        <f t="shared" si="25"/>
        <v>336</v>
      </c>
      <c r="I38" s="63">
        <f t="shared" si="25"/>
        <v>348</v>
      </c>
      <c r="J38" s="63">
        <f t="shared" si="25"/>
        <v>360</v>
      </c>
      <c r="K38" s="63">
        <f t="shared" si="25"/>
        <v>372</v>
      </c>
      <c r="L38" s="63">
        <f t="shared" si="25"/>
        <v>384</v>
      </c>
      <c r="M38" s="63">
        <f t="shared" si="25"/>
        <v>396</v>
      </c>
      <c r="N38" s="63">
        <f t="shared" si="25"/>
        <v>408</v>
      </c>
      <c r="O38" s="63">
        <f t="shared" ref="O38:W38" si="26">$C38*O19</f>
        <v>432</v>
      </c>
      <c r="P38" s="63">
        <f t="shared" si="26"/>
        <v>456</v>
      </c>
      <c r="Q38" s="74">
        <f t="shared" si="3"/>
        <v>4428</v>
      </c>
      <c r="R38" s="63">
        <f t="shared" si="26"/>
        <v>480</v>
      </c>
      <c r="S38" s="63">
        <f t="shared" si="26"/>
        <v>504</v>
      </c>
      <c r="T38" s="63">
        <f t="shared" si="26"/>
        <v>528</v>
      </c>
      <c r="U38" s="63">
        <f t="shared" si="26"/>
        <v>552</v>
      </c>
      <c r="V38" s="63">
        <f t="shared" si="26"/>
        <v>576</v>
      </c>
      <c r="W38" s="63">
        <f t="shared" si="26"/>
        <v>600</v>
      </c>
    </row>
    <row r="39" spans="1:47">
      <c r="A39" s="141"/>
      <c r="B39" t="s">
        <v>231</v>
      </c>
      <c r="C39" s="1">
        <f>VLOOKUP(B39,$B$4:$D$20,2,FALSE)</f>
        <v>3.5</v>
      </c>
      <c r="D39" s="47">
        <f>VLOOKUP(B39,$B$4:$D$20,3,FALSE)</f>
        <v>0.5</v>
      </c>
      <c r="E39" s="63">
        <f>$C39*E20</f>
        <v>175</v>
      </c>
      <c r="F39" s="63">
        <f t="shared" ref="F39:N39" si="27">$C39*F20</f>
        <v>182</v>
      </c>
      <c r="G39" s="63">
        <f t="shared" si="27"/>
        <v>189</v>
      </c>
      <c r="H39" s="63">
        <f t="shared" si="27"/>
        <v>196</v>
      </c>
      <c r="I39" s="63">
        <f t="shared" si="27"/>
        <v>203</v>
      </c>
      <c r="J39" s="63">
        <f t="shared" si="27"/>
        <v>210</v>
      </c>
      <c r="K39" s="63">
        <f t="shared" si="27"/>
        <v>217</v>
      </c>
      <c r="L39" s="63">
        <f t="shared" si="27"/>
        <v>224</v>
      </c>
      <c r="M39" s="63">
        <f t="shared" si="27"/>
        <v>231</v>
      </c>
      <c r="N39" s="63">
        <f t="shared" si="27"/>
        <v>238</v>
      </c>
      <c r="O39" s="63">
        <f t="shared" ref="O39:W39" si="28">$C39*O20</f>
        <v>248.5</v>
      </c>
      <c r="P39" s="63">
        <f t="shared" si="28"/>
        <v>259</v>
      </c>
      <c r="Q39" s="74">
        <f t="shared" si="3"/>
        <v>2572.5</v>
      </c>
      <c r="R39" s="63">
        <f t="shared" si="28"/>
        <v>269.5</v>
      </c>
      <c r="S39" s="63">
        <f t="shared" si="28"/>
        <v>280</v>
      </c>
      <c r="T39" s="63">
        <f t="shared" si="28"/>
        <v>290.5</v>
      </c>
      <c r="U39" s="63">
        <f t="shared" si="28"/>
        <v>301</v>
      </c>
      <c r="V39" s="63">
        <f t="shared" si="28"/>
        <v>311.5</v>
      </c>
      <c r="W39" s="63">
        <f t="shared" si="28"/>
        <v>322</v>
      </c>
    </row>
    <row r="40" spans="1:47" s="59" customFormat="1" ht="16" thickBot="1">
      <c r="A40" s="142"/>
      <c r="B40" s="130" t="s">
        <v>241</v>
      </c>
      <c r="C40" s="130"/>
      <c r="D40" s="131"/>
      <c r="E40" s="65">
        <f>SUM(E36:E39)</f>
        <v>1350</v>
      </c>
      <c r="F40" s="65">
        <f t="shared" ref="F40:N40" si="29">SUM(F36:F39)</f>
        <v>1404</v>
      </c>
      <c r="G40" s="65">
        <f t="shared" si="29"/>
        <v>1458</v>
      </c>
      <c r="H40" s="65">
        <f t="shared" si="29"/>
        <v>1512</v>
      </c>
      <c r="I40" s="65">
        <f t="shared" si="29"/>
        <v>1566</v>
      </c>
      <c r="J40" s="65">
        <f t="shared" si="29"/>
        <v>1620</v>
      </c>
      <c r="K40" s="65">
        <f t="shared" si="29"/>
        <v>1674</v>
      </c>
      <c r="L40" s="65">
        <f t="shared" si="29"/>
        <v>1728</v>
      </c>
      <c r="M40" s="65">
        <f t="shared" si="29"/>
        <v>1782</v>
      </c>
      <c r="N40" s="65">
        <f t="shared" si="29"/>
        <v>1836</v>
      </c>
      <c r="O40" s="65">
        <f>SUM(O36:O39)</f>
        <v>1935.5</v>
      </c>
      <c r="P40" s="65">
        <f t="shared" ref="P40" si="30">SUM(P36:P39)</f>
        <v>2035</v>
      </c>
      <c r="Q40" s="75">
        <f t="shared" si="3"/>
        <v>19900.5</v>
      </c>
      <c r="R40" s="65">
        <f t="shared" ref="R40" si="31">SUM(R36:R39)</f>
        <v>2134.5</v>
      </c>
      <c r="S40" s="65">
        <f t="shared" ref="S40" si="32">SUM(S36:S39)</f>
        <v>2234</v>
      </c>
      <c r="T40" s="65">
        <f t="shared" ref="T40" si="33">SUM(T36:T39)</f>
        <v>2333.5</v>
      </c>
      <c r="U40" s="65">
        <f t="shared" ref="U40" si="34">SUM(U36:U39)</f>
        <v>2433</v>
      </c>
      <c r="V40" s="65">
        <f t="shared" ref="V40" si="35">SUM(V36:V39)</f>
        <v>2532.5</v>
      </c>
      <c r="W40" s="65">
        <f t="shared" ref="W40" si="36">SUM(W36:W39)</f>
        <v>2632</v>
      </c>
    </row>
    <row r="41" spans="1:47" s="54" customFormat="1">
      <c r="A41" s="50"/>
      <c r="B41" s="51" t="s">
        <v>254</v>
      </c>
      <c r="C41" s="51"/>
      <c r="D41" s="52"/>
      <c r="E41" s="66">
        <f>SUM(E35,E40)</f>
        <v>18375</v>
      </c>
      <c r="F41" s="66">
        <f t="shared" ref="F41:N41" si="37">SUM(F35,F40)</f>
        <v>18942.75</v>
      </c>
      <c r="G41" s="66">
        <f t="shared" si="37"/>
        <v>19544.75</v>
      </c>
      <c r="H41" s="66">
        <f t="shared" si="37"/>
        <v>20146.75</v>
      </c>
      <c r="I41" s="66">
        <f t="shared" si="37"/>
        <v>20782</v>
      </c>
      <c r="J41" s="66">
        <f t="shared" si="37"/>
        <v>21417.25</v>
      </c>
      <c r="K41" s="66">
        <f t="shared" si="37"/>
        <v>22085.75</v>
      </c>
      <c r="L41" s="66">
        <f t="shared" si="37"/>
        <v>22754.25</v>
      </c>
      <c r="M41" s="66">
        <f t="shared" si="37"/>
        <v>23456</v>
      </c>
      <c r="N41" s="66">
        <f t="shared" si="37"/>
        <v>24191</v>
      </c>
      <c r="O41" s="66">
        <f>SUM(O35,O40)</f>
        <v>24976.5</v>
      </c>
      <c r="P41" s="66">
        <f t="shared" ref="P41" si="38">SUM(P35,P40)</f>
        <v>25795.25</v>
      </c>
      <c r="Q41" s="76">
        <f t="shared" si="3"/>
        <v>262467.25</v>
      </c>
      <c r="R41" s="66">
        <f t="shared" ref="R41" si="39">SUM(R35,R40)</f>
        <v>26614</v>
      </c>
      <c r="S41" s="66">
        <f t="shared" ref="S41" si="40">SUM(S35,S40)</f>
        <v>27466</v>
      </c>
      <c r="T41" s="66">
        <f t="shared" ref="T41" si="41">SUM(T35,T40)</f>
        <v>28351.25</v>
      </c>
      <c r="U41" s="66">
        <f t="shared" ref="U41" si="42">SUM(U35,U40)</f>
        <v>29236.5</v>
      </c>
      <c r="V41" s="66">
        <f t="shared" ref="V41" si="43">SUM(V35,V40)</f>
        <v>30155</v>
      </c>
      <c r="W41" s="66">
        <f t="shared" ref="W41" si="44">SUM(W35,W40)</f>
        <v>31107.75</v>
      </c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</row>
    <row r="42" spans="1:47" ht="15" customHeight="1">
      <c r="A42" s="140" t="s">
        <v>220</v>
      </c>
      <c r="B42" t="s">
        <v>424</v>
      </c>
      <c r="C42" s="1">
        <f t="shared" ref="C42:C47" si="45">VLOOKUP(B42,$B$4:$D$20,2,FALSE)</f>
        <v>7</v>
      </c>
      <c r="D42" s="47">
        <f t="shared" ref="D42:D47" si="46">VLOOKUP(B42,$B$4:$D$20,3,FALSE)</f>
        <v>0.86716467828124999</v>
      </c>
      <c r="E42" s="63">
        <f t="shared" ref="E42:P42" si="47">$D42*E4</f>
        <v>433.58233914062498</v>
      </c>
      <c r="F42" s="63">
        <f t="shared" si="47"/>
        <v>446.58980931484376</v>
      </c>
      <c r="G42" s="63">
        <f t="shared" si="47"/>
        <v>460.46444416734374</v>
      </c>
      <c r="H42" s="63">
        <f t="shared" si="47"/>
        <v>474.33907901984372</v>
      </c>
      <c r="I42" s="63">
        <f t="shared" si="47"/>
        <v>489.08087855062502</v>
      </c>
      <c r="J42" s="63">
        <f t="shared" si="47"/>
        <v>503.82267808140625</v>
      </c>
      <c r="K42" s="63">
        <f t="shared" si="47"/>
        <v>519.43164229046874</v>
      </c>
      <c r="L42" s="63">
        <f t="shared" si="47"/>
        <v>535.04060649953124</v>
      </c>
      <c r="M42" s="63">
        <f t="shared" si="47"/>
        <v>551.51673538687498</v>
      </c>
      <c r="N42" s="63">
        <f t="shared" si="47"/>
        <v>568.86002895249999</v>
      </c>
      <c r="O42" s="63">
        <f t="shared" si="47"/>
        <v>586.20332251812499</v>
      </c>
      <c r="P42" s="63">
        <f t="shared" si="47"/>
        <v>604.41378076203125</v>
      </c>
      <c r="Q42" s="74">
        <f>SUM(E42:P42)</f>
        <v>6173.3453446842177</v>
      </c>
      <c r="R42" s="63">
        <f t="shared" ref="R42:W46" si="48">$D42*R4</f>
        <v>622.62423900593751</v>
      </c>
      <c r="S42" s="63">
        <f t="shared" si="48"/>
        <v>641.70186192812503</v>
      </c>
      <c r="T42" s="63">
        <f t="shared" si="48"/>
        <v>661.6466495285938</v>
      </c>
      <c r="U42" s="63">
        <f t="shared" si="48"/>
        <v>681.59143712906246</v>
      </c>
      <c r="V42" s="63">
        <f t="shared" si="48"/>
        <v>702.40338940781248</v>
      </c>
      <c r="W42" s="63">
        <f t="shared" si="48"/>
        <v>724.08250636484377</v>
      </c>
    </row>
    <row r="43" spans="1:47">
      <c r="A43" s="141"/>
      <c r="B43" t="s">
        <v>300</v>
      </c>
      <c r="C43" s="1">
        <f t="shared" si="45"/>
        <v>7</v>
      </c>
      <c r="D43" s="47">
        <f t="shared" si="46"/>
        <v>0.93130217828125017</v>
      </c>
      <c r="E43" s="63">
        <f t="shared" ref="E43:P43" si="49">$D43*E5</f>
        <v>465.65108914062506</v>
      </c>
      <c r="F43" s="63">
        <f t="shared" si="49"/>
        <v>479.62062181484384</v>
      </c>
      <c r="G43" s="63">
        <f t="shared" si="49"/>
        <v>494.52145666734384</v>
      </c>
      <c r="H43" s="63">
        <f t="shared" si="49"/>
        <v>509.42229151984384</v>
      </c>
      <c r="I43" s="63">
        <f t="shared" si="49"/>
        <v>525.25442855062511</v>
      </c>
      <c r="J43" s="63">
        <f t="shared" si="49"/>
        <v>541.08656558140638</v>
      </c>
      <c r="K43" s="63">
        <f t="shared" si="49"/>
        <v>557.8500047904688</v>
      </c>
      <c r="L43" s="63">
        <f t="shared" si="49"/>
        <v>574.61344399953134</v>
      </c>
      <c r="M43" s="63">
        <f t="shared" si="49"/>
        <v>592.30818538687515</v>
      </c>
      <c r="N43" s="63">
        <f t="shared" si="49"/>
        <v>610.93422895250012</v>
      </c>
      <c r="O43" s="63">
        <f t="shared" si="49"/>
        <v>629.56027251812509</v>
      </c>
      <c r="P43" s="63">
        <f t="shared" si="49"/>
        <v>649.11761826203133</v>
      </c>
      <c r="Q43" s="74">
        <f t="shared" si="3"/>
        <v>6629.9402071842196</v>
      </c>
      <c r="R43" s="63">
        <f t="shared" si="48"/>
        <v>668.67496400593757</v>
      </c>
      <c r="S43" s="63">
        <f t="shared" si="48"/>
        <v>689.16361192812508</v>
      </c>
      <c r="T43" s="63">
        <f t="shared" si="48"/>
        <v>710.58356202859386</v>
      </c>
      <c r="U43" s="63">
        <f t="shared" si="48"/>
        <v>732.00351212906264</v>
      </c>
      <c r="V43" s="63">
        <f t="shared" si="48"/>
        <v>754.35476440781258</v>
      </c>
      <c r="W43" s="63">
        <f t="shared" si="48"/>
        <v>777.63731886484391</v>
      </c>
    </row>
    <row r="44" spans="1:47">
      <c r="A44" s="141"/>
      <c r="B44" t="s">
        <v>7</v>
      </c>
      <c r="C44" s="1">
        <f t="shared" si="45"/>
        <v>7</v>
      </c>
      <c r="D44" s="47">
        <f t="shared" si="46"/>
        <v>0.87037334752604167</v>
      </c>
      <c r="E44" s="63">
        <f t="shared" ref="E44:P44" si="50">$D44*E6</f>
        <v>435.18667376302085</v>
      </c>
      <c r="F44" s="63">
        <f t="shared" si="50"/>
        <v>448.24227397591147</v>
      </c>
      <c r="G44" s="63">
        <f t="shared" si="50"/>
        <v>462.16824753632812</v>
      </c>
      <c r="H44" s="63">
        <f t="shared" si="50"/>
        <v>476.09422109674477</v>
      </c>
      <c r="I44" s="63">
        <f t="shared" si="50"/>
        <v>490.89056800468751</v>
      </c>
      <c r="J44" s="63">
        <f t="shared" si="50"/>
        <v>505.68691491263019</v>
      </c>
      <c r="K44" s="63">
        <f t="shared" si="50"/>
        <v>521.353635168099</v>
      </c>
      <c r="L44" s="63">
        <f t="shared" si="50"/>
        <v>537.02035542356771</v>
      </c>
      <c r="M44" s="63">
        <f t="shared" si="50"/>
        <v>553.55744902656249</v>
      </c>
      <c r="N44" s="63">
        <f t="shared" si="50"/>
        <v>570.96491597708336</v>
      </c>
      <c r="O44" s="63">
        <f t="shared" si="50"/>
        <v>588.37238292760412</v>
      </c>
      <c r="P44" s="63">
        <f t="shared" si="50"/>
        <v>606.65022322565108</v>
      </c>
      <c r="Q44" s="74">
        <f t="shared" si="3"/>
        <v>6196.1878610378899</v>
      </c>
      <c r="R44" s="63">
        <f t="shared" si="48"/>
        <v>624.92806352369792</v>
      </c>
      <c r="S44" s="63">
        <f t="shared" si="48"/>
        <v>644.07627716927084</v>
      </c>
      <c r="T44" s="63">
        <f t="shared" si="48"/>
        <v>664.09486416236984</v>
      </c>
      <c r="U44" s="63">
        <f t="shared" si="48"/>
        <v>684.11345115546874</v>
      </c>
      <c r="V44" s="63">
        <f t="shared" si="48"/>
        <v>705.00241149609371</v>
      </c>
      <c r="W44" s="63">
        <f t="shared" si="48"/>
        <v>726.76174518424477</v>
      </c>
    </row>
    <row r="45" spans="1:47">
      <c r="A45" s="141"/>
      <c r="B45" t="s">
        <v>423</v>
      </c>
      <c r="C45" s="1">
        <f t="shared" si="45"/>
        <v>7</v>
      </c>
      <c r="D45" s="47">
        <f t="shared" si="46"/>
        <v>0.75699062292038688</v>
      </c>
      <c r="E45" s="63">
        <f t="shared" ref="E45:P45" si="51">$D45*E7</f>
        <v>378.49531146019342</v>
      </c>
      <c r="F45" s="63">
        <f t="shared" si="51"/>
        <v>389.85017080399922</v>
      </c>
      <c r="G45" s="63">
        <f t="shared" si="51"/>
        <v>401.96202077072542</v>
      </c>
      <c r="H45" s="63">
        <f t="shared" si="51"/>
        <v>414.07387073745161</v>
      </c>
      <c r="I45" s="63">
        <f t="shared" si="51"/>
        <v>426.94271132709821</v>
      </c>
      <c r="J45" s="63">
        <f t="shared" si="51"/>
        <v>439.8115519167448</v>
      </c>
      <c r="K45" s="63">
        <f t="shared" si="51"/>
        <v>453.43738312931174</v>
      </c>
      <c r="L45" s="63">
        <f t="shared" si="51"/>
        <v>467.06321434187868</v>
      </c>
      <c r="M45" s="63">
        <f t="shared" si="51"/>
        <v>481.44603617736607</v>
      </c>
      <c r="N45" s="63">
        <f t="shared" si="51"/>
        <v>496.5858486357738</v>
      </c>
      <c r="O45" s="63">
        <f t="shared" si="51"/>
        <v>511.72566109418153</v>
      </c>
      <c r="P45" s="63">
        <f t="shared" si="51"/>
        <v>527.62246417550966</v>
      </c>
      <c r="Q45" s="74">
        <f>SUM(E45:P45)</f>
        <v>5389.0162445702344</v>
      </c>
      <c r="R45" s="63">
        <f t="shared" si="48"/>
        <v>543.51926725683779</v>
      </c>
      <c r="S45" s="63">
        <f t="shared" si="48"/>
        <v>560.17306096108632</v>
      </c>
      <c r="T45" s="63">
        <f t="shared" si="48"/>
        <v>577.58384528825513</v>
      </c>
      <c r="U45" s="63">
        <f t="shared" si="48"/>
        <v>594.99462961542406</v>
      </c>
      <c r="V45" s="63">
        <f t="shared" si="48"/>
        <v>613.16240456551338</v>
      </c>
      <c r="W45" s="63">
        <f t="shared" si="48"/>
        <v>632.08717013852299</v>
      </c>
    </row>
    <row r="46" spans="1:47">
      <c r="A46" s="141"/>
      <c r="B46" t="s">
        <v>238</v>
      </c>
      <c r="C46" s="1">
        <f t="shared" si="45"/>
        <v>5.25</v>
      </c>
      <c r="D46" s="47">
        <f t="shared" si="46"/>
        <v>0.71875000000000011</v>
      </c>
      <c r="E46" s="63">
        <f t="shared" ref="E46:P46" si="52">$D46*E8</f>
        <v>359.37500000000006</v>
      </c>
      <c r="F46" s="63">
        <f t="shared" si="52"/>
        <v>370.15625000000006</v>
      </c>
      <c r="G46" s="63">
        <f t="shared" si="52"/>
        <v>381.65625000000006</v>
      </c>
      <c r="H46" s="63">
        <f t="shared" si="52"/>
        <v>393.15625000000006</v>
      </c>
      <c r="I46" s="63">
        <f t="shared" si="52"/>
        <v>405.37500000000006</v>
      </c>
      <c r="J46" s="63">
        <f t="shared" si="52"/>
        <v>417.59375000000006</v>
      </c>
      <c r="K46" s="63">
        <f t="shared" si="52"/>
        <v>430.53125000000006</v>
      </c>
      <c r="L46" s="63">
        <f t="shared" si="52"/>
        <v>443.46875000000006</v>
      </c>
      <c r="M46" s="63">
        <f t="shared" si="52"/>
        <v>457.12500000000006</v>
      </c>
      <c r="N46" s="63">
        <f t="shared" si="52"/>
        <v>471.50000000000006</v>
      </c>
      <c r="O46" s="63">
        <f t="shared" si="52"/>
        <v>485.87500000000006</v>
      </c>
      <c r="P46" s="63">
        <f t="shared" si="52"/>
        <v>500.96875000000006</v>
      </c>
      <c r="Q46" s="74">
        <f t="shared" si="3"/>
        <v>5116.7812500000009</v>
      </c>
      <c r="R46" s="63">
        <f t="shared" si="48"/>
        <v>516.06250000000011</v>
      </c>
      <c r="S46" s="63">
        <f t="shared" si="48"/>
        <v>531.87500000000011</v>
      </c>
      <c r="T46" s="63">
        <f t="shared" si="48"/>
        <v>548.40625000000011</v>
      </c>
      <c r="U46" s="63">
        <f t="shared" si="48"/>
        <v>564.93750000000011</v>
      </c>
      <c r="V46" s="63">
        <f t="shared" si="48"/>
        <v>582.18750000000011</v>
      </c>
      <c r="W46" s="63">
        <f t="shared" si="48"/>
        <v>600.15625000000011</v>
      </c>
    </row>
    <row r="47" spans="1:47">
      <c r="A47" s="141"/>
      <c r="C47" s="1" t="e">
        <f t="shared" si="45"/>
        <v>#N/A</v>
      </c>
      <c r="D47" s="47" t="e">
        <f t="shared" si="46"/>
        <v>#N/A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74"/>
      <c r="R47" s="63"/>
      <c r="S47" s="63"/>
      <c r="T47" s="63"/>
      <c r="U47" s="63"/>
      <c r="V47" s="63"/>
      <c r="W47" s="63"/>
    </row>
    <row r="48" spans="1:47">
      <c r="A48" s="141"/>
      <c r="C48" s="1" t="e">
        <f t="shared" ref="C48:C51" si="53">VLOOKUP(B48,$B$4:$D$20,2,FALSE)</f>
        <v>#N/A</v>
      </c>
      <c r="D48" s="47" t="e">
        <f t="shared" ref="D48:D51" si="54">VLOOKUP(B48,$B$4:$D$20,3,FALSE)</f>
        <v>#N/A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74"/>
      <c r="R48" s="63"/>
      <c r="S48" s="63"/>
      <c r="T48" s="63"/>
      <c r="U48" s="63"/>
      <c r="V48" s="63"/>
      <c r="W48" s="63"/>
    </row>
    <row r="49" spans="1:47">
      <c r="A49" s="141"/>
      <c r="C49" s="1" t="e">
        <f t="shared" si="53"/>
        <v>#N/A</v>
      </c>
      <c r="D49" s="47" t="e">
        <f>VLOOKUP(B49,$B$4:$D$20,3,FALSE)</f>
        <v>#N/A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74"/>
      <c r="R49" s="63"/>
      <c r="S49" s="63"/>
      <c r="T49" s="63"/>
      <c r="U49" s="63"/>
      <c r="V49" s="63"/>
      <c r="W49" s="63"/>
    </row>
    <row r="50" spans="1:47">
      <c r="A50" s="141"/>
      <c r="C50" s="1" t="e">
        <f t="shared" si="53"/>
        <v>#N/A</v>
      </c>
      <c r="D50" s="47" t="e">
        <f t="shared" si="54"/>
        <v>#N/A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3"/>
      <c r="S50" s="63"/>
      <c r="T50" s="63"/>
      <c r="U50" s="63"/>
      <c r="V50" s="63"/>
      <c r="W50" s="63"/>
    </row>
    <row r="51" spans="1:47">
      <c r="A51" s="141"/>
      <c r="C51" s="1" t="e">
        <f t="shared" si="53"/>
        <v>#N/A</v>
      </c>
      <c r="D51" s="47" t="e">
        <f t="shared" si="54"/>
        <v>#N/A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74"/>
      <c r="R51" s="63"/>
      <c r="S51" s="63"/>
      <c r="T51" s="63"/>
      <c r="U51" s="63"/>
      <c r="V51" s="63"/>
      <c r="W51" s="63"/>
    </row>
    <row r="52" spans="1:47">
      <c r="A52" s="141"/>
      <c r="B52" t="s">
        <v>239</v>
      </c>
      <c r="C52" s="1">
        <f>VLOOKUP(B52,$B$4:$D$20,2,FALSE)</f>
        <v>4</v>
      </c>
      <c r="D52" s="47">
        <f>VLOOKUP(B52,$B$4:$D$20,3,FALSE)</f>
        <v>0.8</v>
      </c>
      <c r="E52" s="63">
        <f t="shared" ref="E52:P52" si="55">$D52*E14</f>
        <v>60</v>
      </c>
      <c r="F52" s="63">
        <f t="shared" si="55"/>
        <v>62.400000000000006</v>
      </c>
      <c r="G52" s="63">
        <f t="shared" si="55"/>
        <v>64.8</v>
      </c>
      <c r="H52" s="63">
        <f t="shared" si="55"/>
        <v>67.2</v>
      </c>
      <c r="I52" s="63">
        <f t="shared" si="55"/>
        <v>69.600000000000009</v>
      </c>
      <c r="J52" s="63">
        <f t="shared" si="55"/>
        <v>72</v>
      </c>
      <c r="K52" s="63">
        <f t="shared" si="55"/>
        <v>74.400000000000006</v>
      </c>
      <c r="L52" s="63">
        <f t="shared" si="55"/>
        <v>76.800000000000011</v>
      </c>
      <c r="M52" s="63">
        <f t="shared" si="55"/>
        <v>79.2</v>
      </c>
      <c r="N52" s="63">
        <f t="shared" si="55"/>
        <v>81.600000000000009</v>
      </c>
      <c r="O52" s="63">
        <f t="shared" si="55"/>
        <v>84.800000000000011</v>
      </c>
      <c r="P52" s="63">
        <f t="shared" si="55"/>
        <v>88</v>
      </c>
      <c r="Q52" s="74">
        <f t="shared" si="3"/>
        <v>880.80000000000018</v>
      </c>
      <c r="R52" s="63">
        <f t="shared" ref="R52:W53" si="56">$D52*R14</f>
        <v>91.2</v>
      </c>
      <c r="S52" s="63">
        <f t="shared" si="56"/>
        <v>94.4</v>
      </c>
      <c r="T52" s="63">
        <f t="shared" si="56"/>
        <v>97.600000000000009</v>
      </c>
      <c r="U52" s="63">
        <f t="shared" si="56"/>
        <v>100.80000000000001</v>
      </c>
      <c r="V52" s="63">
        <f t="shared" si="56"/>
        <v>104</v>
      </c>
      <c r="W52" s="63">
        <f t="shared" si="56"/>
        <v>107.2</v>
      </c>
    </row>
    <row r="53" spans="1:47">
      <c r="A53" s="141"/>
      <c r="B53" t="s">
        <v>270</v>
      </c>
      <c r="C53" s="1">
        <f>VLOOKUP(B53,$B$4:$D$20,2,FALSE)</f>
        <v>1</v>
      </c>
      <c r="D53" s="47">
        <f>VLOOKUP(B53,$B$4:$D$20,3,FALSE)</f>
        <v>0.3</v>
      </c>
      <c r="E53" s="63">
        <f t="shared" ref="E53:P53" si="57">$D53*E15</f>
        <v>30</v>
      </c>
      <c r="F53" s="63">
        <f t="shared" si="57"/>
        <v>30.9</v>
      </c>
      <c r="G53" s="63">
        <f t="shared" si="57"/>
        <v>32.1</v>
      </c>
      <c r="H53" s="63">
        <f t="shared" si="57"/>
        <v>33.299999999999997</v>
      </c>
      <c r="I53" s="63">
        <f t="shared" si="57"/>
        <v>34.5</v>
      </c>
      <c r="J53" s="63">
        <f t="shared" si="57"/>
        <v>35.699999999999996</v>
      </c>
      <c r="K53" s="63">
        <f t="shared" si="57"/>
        <v>36.9</v>
      </c>
      <c r="L53" s="63">
        <f t="shared" si="57"/>
        <v>38.1</v>
      </c>
      <c r="M53" s="63">
        <f t="shared" si="57"/>
        <v>39.299999999999997</v>
      </c>
      <c r="N53" s="63">
        <f t="shared" si="57"/>
        <v>40.5</v>
      </c>
      <c r="O53" s="63">
        <f t="shared" si="57"/>
        <v>42</v>
      </c>
      <c r="P53" s="63">
        <f t="shared" si="57"/>
        <v>43.5</v>
      </c>
      <c r="Q53" s="74">
        <f t="shared" ref="Q53" si="58">SUM(E53:P53)</f>
        <v>436.8</v>
      </c>
      <c r="R53" s="63">
        <f t="shared" si="56"/>
        <v>45</v>
      </c>
      <c r="S53" s="63">
        <f t="shared" si="56"/>
        <v>46.5</v>
      </c>
      <c r="T53" s="63">
        <f t="shared" si="56"/>
        <v>48</v>
      </c>
      <c r="U53" s="63">
        <f t="shared" si="56"/>
        <v>49.5</v>
      </c>
      <c r="V53" s="63">
        <f t="shared" si="56"/>
        <v>51</v>
      </c>
      <c r="W53" s="63">
        <f t="shared" si="56"/>
        <v>52.8</v>
      </c>
    </row>
    <row r="54" spans="1:47" s="48" customFormat="1">
      <c r="A54" s="141"/>
      <c r="B54" s="138" t="s">
        <v>240</v>
      </c>
      <c r="C54" s="138"/>
      <c r="D54" s="139"/>
      <c r="E54" s="64">
        <f>SUM(E42:E53)</f>
        <v>2162.2904135044646</v>
      </c>
      <c r="F54" s="64">
        <f t="shared" ref="F54:W54" si="59">SUM(F42:F53)</f>
        <v>2227.7591259095984</v>
      </c>
      <c r="G54" s="64">
        <f t="shared" si="59"/>
        <v>2297.6724191417411</v>
      </c>
      <c r="H54" s="64">
        <f t="shared" si="59"/>
        <v>2367.5857123738842</v>
      </c>
      <c r="I54" s="64">
        <f t="shared" si="59"/>
        <v>2441.6435864330356</v>
      </c>
      <c r="J54" s="64">
        <f t="shared" si="59"/>
        <v>2515.7014604921874</v>
      </c>
      <c r="K54" s="64">
        <f t="shared" si="59"/>
        <v>2593.9039153783488</v>
      </c>
      <c r="L54" s="64">
        <f t="shared" si="59"/>
        <v>2672.1063702645092</v>
      </c>
      <c r="M54" s="64">
        <f t="shared" si="59"/>
        <v>2754.4534059776788</v>
      </c>
      <c r="N54" s="64">
        <f t="shared" si="59"/>
        <v>2840.9450225178571</v>
      </c>
      <c r="O54" s="64">
        <f t="shared" si="59"/>
        <v>2928.5366390580357</v>
      </c>
      <c r="P54" s="64">
        <f t="shared" si="59"/>
        <v>3020.2728364252234</v>
      </c>
      <c r="Q54" s="64">
        <f t="shared" si="59"/>
        <v>30822.870907476561</v>
      </c>
      <c r="R54" s="64">
        <f t="shared" si="59"/>
        <v>3112.0090337924107</v>
      </c>
      <c r="S54" s="64">
        <f t="shared" si="59"/>
        <v>3207.8898119866071</v>
      </c>
      <c r="T54" s="64">
        <f t="shared" si="59"/>
        <v>3307.9151710078127</v>
      </c>
      <c r="U54" s="64">
        <f t="shared" si="59"/>
        <v>3407.9405300290182</v>
      </c>
      <c r="V54" s="64">
        <f t="shared" si="59"/>
        <v>3512.1104698772324</v>
      </c>
      <c r="W54" s="64">
        <f t="shared" si="59"/>
        <v>3620.7249905524554</v>
      </c>
    </row>
    <row r="55" spans="1:47">
      <c r="A55" s="141"/>
      <c r="B55" t="s">
        <v>228</v>
      </c>
      <c r="C55" s="1">
        <f>VLOOKUP(B55,$B$4:$D$20,2,FALSE)</f>
        <v>5</v>
      </c>
      <c r="D55" s="47">
        <f>VLOOKUP(B55,$B$4:$D$20,3,FALSE)</f>
        <v>0.9</v>
      </c>
      <c r="E55" s="63">
        <f t="shared" ref="E55:P55" si="60">$D55*E17</f>
        <v>45</v>
      </c>
      <c r="F55" s="63">
        <f t="shared" si="60"/>
        <v>46.800000000000004</v>
      </c>
      <c r="G55" s="63">
        <f t="shared" si="60"/>
        <v>48.6</v>
      </c>
      <c r="H55" s="63">
        <f t="shared" si="60"/>
        <v>50.4</v>
      </c>
      <c r="I55" s="63">
        <f t="shared" si="60"/>
        <v>52.2</v>
      </c>
      <c r="J55" s="63">
        <f t="shared" si="60"/>
        <v>54</v>
      </c>
      <c r="K55" s="63">
        <f t="shared" si="60"/>
        <v>55.800000000000004</v>
      </c>
      <c r="L55" s="63">
        <f t="shared" si="60"/>
        <v>57.6</v>
      </c>
      <c r="M55" s="63">
        <f t="shared" si="60"/>
        <v>59.4</v>
      </c>
      <c r="N55" s="63">
        <f t="shared" si="60"/>
        <v>61.2</v>
      </c>
      <c r="O55" s="63">
        <f t="shared" si="60"/>
        <v>63.9</v>
      </c>
      <c r="P55" s="63">
        <f t="shared" si="60"/>
        <v>66.600000000000009</v>
      </c>
      <c r="Q55" s="74">
        <f>SUM(E55:P55)</f>
        <v>661.5</v>
      </c>
      <c r="R55" s="63">
        <f t="shared" ref="R55:W58" si="61">$D55*R17</f>
        <v>69.3</v>
      </c>
      <c r="S55" s="63">
        <f t="shared" si="61"/>
        <v>72</v>
      </c>
      <c r="T55" s="63">
        <f t="shared" si="61"/>
        <v>74.7</v>
      </c>
      <c r="U55" s="63">
        <f t="shared" si="61"/>
        <v>77.400000000000006</v>
      </c>
      <c r="V55" s="63">
        <f t="shared" si="61"/>
        <v>80.100000000000009</v>
      </c>
      <c r="W55" s="63">
        <f t="shared" si="61"/>
        <v>82.8</v>
      </c>
    </row>
    <row r="56" spans="1:47">
      <c r="A56" s="141"/>
      <c r="B56" t="s">
        <v>229</v>
      </c>
      <c r="C56" s="1">
        <f>VLOOKUP(B56,$B$4:$D$20,2,FALSE)</f>
        <v>25</v>
      </c>
      <c r="D56" s="47">
        <f>VLOOKUP(B56,$B$4:$D$20,3,FALSE)</f>
        <v>15</v>
      </c>
      <c r="E56" s="63">
        <f t="shared" ref="E56:P56" si="62">$D56*E18</f>
        <v>375</v>
      </c>
      <c r="F56" s="63">
        <f t="shared" si="62"/>
        <v>390</v>
      </c>
      <c r="G56" s="63">
        <f t="shared" si="62"/>
        <v>405</v>
      </c>
      <c r="H56" s="63">
        <f t="shared" si="62"/>
        <v>420</v>
      </c>
      <c r="I56" s="63">
        <f t="shared" si="62"/>
        <v>435</v>
      </c>
      <c r="J56" s="63">
        <f t="shared" si="62"/>
        <v>450</v>
      </c>
      <c r="K56" s="63">
        <f t="shared" si="62"/>
        <v>465</v>
      </c>
      <c r="L56" s="63">
        <f t="shared" si="62"/>
        <v>480</v>
      </c>
      <c r="M56" s="63">
        <f t="shared" si="62"/>
        <v>495</v>
      </c>
      <c r="N56" s="63">
        <f t="shared" si="62"/>
        <v>510</v>
      </c>
      <c r="O56" s="63">
        <f t="shared" si="62"/>
        <v>540</v>
      </c>
      <c r="P56" s="63">
        <f t="shared" si="62"/>
        <v>570</v>
      </c>
      <c r="Q56" s="74">
        <f t="shared" si="3"/>
        <v>5535</v>
      </c>
      <c r="R56" s="63">
        <f t="shared" si="61"/>
        <v>600</v>
      </c>
      <c r="S56" s="63">
        <f t="shared" si="61"/>
        <v>630</v>
      </c>
      <c r="T56" s="63">
        <f t="shared" si="61"/>
        <v>660</v>
      </c>
      <c r="U56" s="63">
        <f t="shared" si="61"/>
        <v>690</v>
      </c>
      <c r="V56" s="63">
        <f t="shared" si="61"/>
        <v>720</v>
      </c>
      <c r="W56" s="63">
        <f t="shared" si="61"/>
        <v>750</v>
      </c>
    </row>
    <row r="57" spans="1:47">
      <c r="A57" s="141"/>
      <c r="B57" t="s">
        <v>230</v>
      </c>
      <c r="C57" s="1">
        <f>VLOOKUP(B57,$B$4:$D$20,2,FALSE)</f>
        <v>12</v>
      </c>
      <c r="D57" s="47">
        <f>VLOOKUP(B57,$B$4:$D$20,3,FALSE)</f>
        <v>5</v>
      </c>
      <c r="E57" s="63">
        <f t="shared" ref="E57:P57" si="63">$D57*E19</f>
        <v>125</v>
      </c>
      <c r="F57" s="63">
        <f t="shared" si="63"/>
        <v>130</v>
      </c>
      <c r="G57" s="63">
        <f t="shared" si="63"/>
        <v>135</v>
      </c>
      <c r="H57" s="63">
        <f t="shared" si="63"/>
        <v>140</v>
      </c>
      <c r="I57" s="63">
        <f t="shared" si="63"/>
        <v>145</v>
      </c>
      <c r="J57" s="63">
        <f t="shared" si="63"/>
        <v>150</v>
      </c>
      <c r="K57" s="63">
        <f t="shared" si="63"/>
        <v>155</v>
      </c>
      <c r="L57" s="63">
        <f t="shared" si="63"/>
        <v>160</v>
      </c>
      <c r="M57" s="63">
        <f t="shared" si="63"/>
        <v>165</v>
      </c>
      <c r="N57" s="63">
        <f t="shared" si="63"/>
        <v>170</v>
      </c>
      <c r="O57" s="63">
        <f t="shared" si="63"/>
        <v>180</v>
      </c>
      <c r="P57" s="63">
        <f t="shared" si="63"/>
        <v>190</v>
      </c>
      <c r="Q57" s="74">
        <f t="shared" si="3"/>
        <v>1845</v>
      </c>
      <c r="R57" s="63">
        <f t="shared" si="61"/>
        <v>200</v>
      </c>
      <c r="S57" s="63">
        <f t="shared" si="61"/>
        <v>210</v>
      </c>
      <c r="T57" s="63">
        <f t="shared" si="61"/>
        <v>220</v>
      </c>
      <c r="U57" s="63">
        <f t="shared" si="61"/>
        <v>230</v>
      </c>
      <c r="V57" s="63">
        <f t="shared" si="61"/>
        <v>240</v>
      </c>
      <c r="W57" s="63">
        <f t="shared" si="61"/>
        <v>250</v>
      </c>
    </row>
    <row r="58" spans="1:47">
      <c r="A58" s="141"/>
      <c r="B58" t="s">
        <v>231</v>
      </c>
      <c r="C58" s="1">
        <f>VLOOKUP(B58,$B$4:$D$20,2,FALSE)</f>
        <v>3.5</v>
      </c>
      <c r="D58" s="47">
        <f>VLOOKUP(B58,$B$4:$D$20,3,FALSE)</f>
        <v>0.5</v>
      </c>
      <c r="E58" s="63">
        <f t="shared" ref="E58:P58" si="64">$D58*E20</f>
        <v>25</v>
      </c>
      <c r="F58" s="63">
        <f t="shared" si="64"/>
        <v>26</v>
      </c>
      <c r="G58" s="63">
        <f t="shared" si="64"/>
        <v>27</v>
      </c>
      <c r="H58" s="63">
        <f t="shared" si="64"/>
        <v>28</v>
      </c>
      <c r="I58" s="63">
        <f t="shared" si="64"/>
        <v>29</v>
      </c>
      <c r="J58" s="63">
        <f t="shared" si="64"/>
        <v>30</v>
      </c>
      <c r="K58" s="63">
        <f t="shared" si="64"/>
        <v>31</v>
      </c>
      <c r="L58" s="63">
        <f t="shared" si="64"/>
        <v>32</v>
      </c>
      <c r="M58" s="63">
        <f t="shared" si="64"/>
        <v>33</v>
      </c>
      <c r="N58" s="63">
        <f t="shared" si="64"/>
        <v>34</v>
      </c>
      <c r="O58" s="63">
        <f t="shared" si="64"/>
        <v>35.5</v>
      </c>
      <c r="P58" s="63">
        <f t="shared" si="64"/>
        <v>37</v>
      </c>
      <c r="Q58" s="74">
        <f t="shared" si="3"/>
        <v>367.5</v>
      </c>
      <c r="R58" s="63">
        <f t="shared" si="61"/>
        <v>38.5</v>
      </c>
      <c r="S58" s="63">
        <f t="shared" si="61"/>
        <v>40</v>
      </c>
      <c r="T58" s="63">
        <f t="shared" si="61"/>
        <v>41.5</v>
      </c>
      <c r="U58" s="63">
        <f t="shared" si="61"/>
        <v>43</v>
      </c>
      <c r="V58" s="63">
        <f t="shared" si="61"/>
        <v>44.5</v>
      </c>
      <c r="W58" s="63">
        <f t="shared" si="61"/>
        <v>46</v>
      </c>
    </row>
    <row r="59" spans="1:47" s="59" customFormat="1" ht="16" thickBot="1">
      <c r="A59" s="142"/>
      <c r="B59" s="130" t="s">
        <v>241</v>
      </c>
      <c r="C59" s="130"/>
      <c r="D59" s="131"/>
      <c r="E59" s="65">
        <f>SUM(E55:E58)</f>
        <v>570</v>
      </c>
      <c r="F59" s="65">
        <f t="shared" ref="F59:N59" si="65">SUM(F55:F58)</f>
        <v>592.79999999999995</v>
      </c>
      <c r="G59" s="65">
        <f t="shared" si="65"/>
        <v>615.6</v>
      </c>
      <c r="H59" s="65">
        <f t="shared" si="65"/>
        <v>638.4</v>
      </c>
      <c r="I59" s="65">
        <f t="shared" si="65"/>
        <v>661.2</v>
      </c>
      <c r="J59" s="65">
        <f t="shared" si="65"/>
        <v>684</v>
      </c>
      <c r="K59" s="65">
        <f t="shared" si="65"/>
        <v>706.8</v>
      </c>
      <c r="L59" s="65">
        <f t="shared" si="65"/>
        <v>729.6</v>
      </c>
      <c r="M59" s="65">
        <f t="shared" si="65"/>
        <v>752.4</v>
      </c>
      <c r="N59" s="65">
        <f t="shared" si="65"/>
        <v>775.2</v>
      </c>
      <c r="O59" s="65">
        <f>SUM(O55:O58)</f>
        <v>819.4</v>
      </c>
      <c r="P59" s="65">
        <f t="shared" ref="P59" si="66">SUM(P55:P58)</f>
        <v>863.6</v>
      </c>
      <c r="Q59" s="75">
        <f t="shared" si="3"/>
        <v>8409</v>
      </c>
      <c r="R59" s="65">
        <f t="shared" ref="R59" si="67">SUM(R55:R58)</f>
        <v>907.8</v>
      </c>
      <c r="S59" s="65">
        <f t="shared" ref="S59" si="68">SUM(S55:S58)</f>
        <v>952</v>
      </c>
      <c r="T59" s="65">
        <f t="shared" ref="T59" si="69">SUM(T55:T58)</f>
        <v>996.2</v>
      </c>
      <c r="U59" s="65">
        <f t="shared" ref="U59" si="70">SUM(U55:U58)</f>
        <v>1040.4000000000001</v>
      </c>
      <c r="V59" s="65">
        <f t="shared" ref="V59" si="71">SUM(V55:V58)</f>
        <v>1084.5999999999999</v>
      </c>
      <c r="W59" s="65">
        <f t="shared" ref="W59" si="72">SUM(W55:W58)</f>
        <v>1128.8</v>
      </c>
    </row>
    <row r="60" spans="1:47" s="80" customFormat="1">
      <c r="A60" s="79"/>
      <c r="B60" s="136" t="s">
        <v>12</v>
      </c>
      <c r="C60" s="136"/>
      <c r="D60" s="137"/>
      <c r="E60" s="63">
        <f>(E22/3)*0.1+(E41*0.026)</f>
        <v>571.91666666666663</v>
      </c>
      <c r="F60" s="63">
        <f t="shared" ref="F60:W60" si="73">(F22/3)*0.1+(F41*0.026)</f>
        <v>589.57816666666668</v>
      </c>
      <c r="G60" s="63">
        <f t="shared" si="73"/>
        <v>608.33016666666663</v>
      </c>
      <c r="H60" s="63">
        <f t="shared" si="73"/>
        <v>627.08216666666658</v>
      </c>
      <c r="I60" s="63">
        <f t="shared" si="73"/>
        <v>646.8653333333333</v>
      </c>
      <c r="J60" s="63">
        <f t="shared" si="73"/>
        <v>666.64850000000001</v>
      </c>
      <c r="K60" s="63">
        <f t="shared" si="73"/>
        <v>687.46283333333338</v>
      </c>
      <c r="L60" s="63">
        <f t="shared" si="73"/>
        <v>708.27716666666674</v>
      </c>
      <c r="M60" s="63">
        <f t="shared" si="73"/>
        <v>730.12266666666665</v>
      </c>
      <c r="N60" s="63">
        <f t="shared" si="73"/>
        <v>752.99933333333331</v>
      </c>
      <c r="O60" s="63">
        <f t="shared" si="73"/>
        <v>777.38900000000001</v>
      </c>
      <c r="P60" s="63">
        <f t="shared" si="73"/>
        <v>802.80983333333324</v>
      </c>
      <c r="Q60" s="74">
        <f t="shared" si="73"/>
        <v>8169.4818333333333</v>
      </c>
      <c r="R60" s="63">
        <f t="shared" si="73"/>
        <v>828.23066666666659</v>
      </c>
      <c r="S60" s="63">
        <f t="shared" si="73"/>
        <v>854.68266666666671</v>
      </c>
      <c r="T60" s="63">
        <f t="shared" si="73"/>
        <v>882.16583333333324</v>
      </c>
      <c r="U60" s="63">
        <f t="shared" si="73"/>
        <v>909.649</v>
      </c>
      <c r="V60" s="63">
        <f t="shared" si="73"/>
        <v>938.1633333333333</v>
      </c>
      <c r="W60" s="63">
        <f t="shared" si="73"/>
        <v>967.76816666666662</v>
      </c>
      <c r="X60"/>
      <c r="Y60" s="1"/>
      <c r="Z60" s="47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74"/>
      <c r="AN60" s="63"/>
      <c r="AO60" s="63"/>
      <c r="AP60" s="63"/>
    </row>
    <row r="61" spans="1:47" s="54" customFormat="1">
      <c r="A61" s="50"/>
      <c r="B61" s="51" t="s">
        <v>255</v>
      </c>
      <c r="C61" s="51"/>
      <c r="D61" s="52"/>
      <c r="E61" s="66">
        <f>SUM(E54,E59,E60)</f>
        <v>3304.2070801711311</v>
      </c>
      <c r="F61" s="66">
        <f t="shared" ref="F61:W61" si="74">SUM(F54,F59,F60)</f>
        <v>3410.1372925762648</v>
      </c>
      <c r="G61" s="66">
        <f t="shared" si="74"/>
        <v>3521.6025858084076</v>
      </c>
      <c r="H61" s="66">
        <f t="shared" si="74"/>
        <v>3633.0678790405509</v>
      </c>
      <c r="I61" s="66">
        <f t="shared" si="74"/>
        <v>3749.708919766369</v>
      </c>
      <c r="J61" s="66">
        <f t="shared" si="74"/>
        <v>3866.3499604921872</v>
      </c>
      <c r="K61" s="66">
        <f t="shared" si="74"/>
        <v>3988.1667487116824</v>
      </c>
      <c r="L61" s="66">
        <f t="shared" si="74"/>
        <v>4109.9835369311759</v>
      </c>
      <c r="M61" s="66">
        <f t="shared" si="74"/>
        <v>4236.9760726443455</v>
      </c>
      <c r="N61" s="66">
        <f t="shared" si="74"/>
        <v>4369.1443558511901</v>
      </c>
      <c r="O61" s="66">
        <f t="shared" si="74"/>
        <v>4525.3256390580354</v>
      </c>
      <c r="P61" s="66">
        <f t="shared" si="74"/>
        <v>4686.6826697585566</v>
      </c>
      <c r="Q61" s="76">
        <f t="shared" si="74"/>
        <v>47401.352740809896</v>
      </c>
      <c r="R61" s="66">
        <f t="shared" si="74"/>
        <v>4848.0397004590768</v>
      </c>
      <c r="S61" s="66">
        <f t="shared" si="74"/>
        <v>5014.5724786532737</v>
      </c>
      <c r="T61" s="66">
        <f t="shared" si="74"/>
        <v>5186.2810043411464</v>
      </c>
      <c r="U61" s="66">
        <f t="shared" si="74"/>
        <v>5357.9895300290182</v>
      </c>
      <c r="V61" s="66">
        <f t="shared" si="74"/>
        <v>5534.8738032105657</v>
      </c>
      <c r="W61" s="66">
        <f t="shared" si="74"/>
        <v>5717.2931572191219</v>
      </c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</row>
    <row r="62" spans="1:47" ht="15" customHeight="1">
      <c r="A62" s="140" t="s">
        <v>242</v>
      </c>
      <c r="B62" t="s">
        <v>424</v>
      </c>
      <c r="C62" s="1">
        <f>VLOOKUP(B62,$B$4:$D$20,2,FALSE)</f>
        <v>7</v>
      </c>
      <c r="D62" s="47">
        <f>VLOOKUP(B62,$B$4:$D$20,3,FALSE)</f>
        <v>0.86716467828124999</v>
      </c>
      <c r="E62" s="63">
        <f>E23-E42</f>
        <v>3066.4176608593752</v>
      </c>
      <c r="F62" s="63">
        <f t="shared" ref="F62:N62" si="75">F23-F42</f>
        <v>3158.4101906851561</v>
      </c>
      <c r="G62" s="63">
        <f t="shared" si="75"/>
        <v>3256.5355558326564</v>
      </c>
      <c r="H62" s="63">
        <f t="shared" si="75"/>
        <v>3354.6609209801563</v>
      </c>
      <c r="I62" s="63">
        <f t="shared" si="75"/>
        <v>3458.9191214493749</v>
      </c>
      <c r="J62" s="63">
        <f t="shared" si="75"/>
        <v>3563.1773219185939</v>
      </c>
      <c r="K62" s="63">
        <f t="shared" si="75"/>
        <v>3673.5683577095315</v>
      </c>
      <c r="L62" s="63">
        <f t="shared" si="75"/>
        <v>3783.9593935004687</v>
      </c>
      <c r="M62" s="63">
        <f t="shared" si="75"/>
        <v>3900.4832646131249</v>
      </c>
      <c r="N62" s="63">
        <f t="shared" si="75"/>
        <v>4023.1399710474998</v>
      </c>
      <c r="O62" s="63">
        <f>O23-O42</f>
        <v>4145.7966774818751</v>
      </c>
      <c r="P62" s="63">
        <f t="shared" ref="P62:W62" si="76">P23-P42</f>
        <v>4274.5862192379691</v>
      </c>
      <c r="Q62" s="74">
        <f>SUM(E62:P62)</f>
        <v>43659.65465531579</v>
      </c>
      <c r="R62" s="63">
        <f t="shared" si="76"/>
        <v>4403.3757609940621</v>
      </c>
      <c r="S62" s="63">
        <f t="shared" si="76"/>
        <v>4538.2981380718747</v>
      </c>
      <c r="T62" s="63">
        <f t="shared" si="76"/>
        <v>4679.353350471406</v>
      </c>
      <c r="U62" s="63">
        <f t="shared" si="76"/>
        <v>4820.4085628709372</v>
      </c>
      <c r="V62" s="63">
        <f t="shared" si="76"/>
        <v>4967.5966105921871</v>
      </c>
      <c r="W62" s="63">
        <f t="shared" si="76"/>
        <v>5120.9174936351565</v>
      </c>
    </row>
    <row r="63" spans="1:47">
      <c r="A63" s="141"/>
      <c r="B63" t="s">
        <v>300</v>
      </c>
      <c r="C63" s="1">
        <f>VLOOKUP(B63,$B$4:$D$20,2,FALSE)</f>
        <v>7</v>
      </c>
      <c r="D63" s="47">
        <f>VLOOKUP(B63,$B$4:$D$20,3,FALSE)</f>
        <v>0.93130217828125017</v>
      </c>
      <c r="E63" s="63">
        <f>E24-E43</f>
        <v>3034.3489108593749</v>
      </c>
      <c r="F63" s="63">
        <f t="shared" ref="F63:N63" si="77">F24-F43</f>
        <v>3125.3793781851564</v>
      </c>
      <c r="G63" s="63">
        <f t="shared" si="77"/>
        <v>3222.478543332656</v>
      </c>
      <c r="H63" s="63">
        <f t="shared" si="77"/>
        <v>3319.5777084801562</v>
      </c>
      <c r="I63" s="63">
        <f t="shared" si="77"/>
        <v>3422.7455714493749</v>
      </c>
      <c r="J63" s="63">
        <f t="shared" si="77"/>
        <v>3525.9134344185936</v>
      </c>
      <c r="K63" s="63">
        <f t="shared" si="77"/>
        <v>3635.149995209531</v>
      </c>
      <c r="L63" s="63">
        <f t="shared" si="77"/>
        <v>3744.3865560004688</v>
      </c>
      <c r="M63" s="63">
        <f t="shared" si="77"/>
        <v>3859.6918146131247</v>
      </c>
      <c r="N63" s="63">
        <f t="shared" si="77"/>
        <v>3981.0657710474998</v>
      </c>
      <c r="O63" s="63">
        <f>O24-O43</f>
        <v>4102.4397274818748</v>
      </c>
      <c r="P63" s="63">
        <f>P24-P43</f>
        <v>4229.8823817379689</v>
      </c>
      <c r="Q63" s="74">
        <f t="shared" si="3"/>
        <v>43203.059792815788</v>
      </c>
      <c r="R63" s="63">
        <f t="shared" ref="R63:W66" si="78">R24-R43</f>
        <v>4357.3250359940621</v>
      </c>
      <c r="S63" s="63">
        <f t="shared" si="78"/>
        <v>4490.8363880718753</v>
      </c>
      <c r="T63" s="63">
        <f t="shared" si="78"/>
        <v>4630.4164379714057</v>
      </c>
      <c r="U63" s="63">
        <f t="shared" si="78"/>
        <v>4769.996487870937</v>
      </c>
      <c r="V63" s="63">
        <f t="shared" si="78"/>
        <v>4915.6452355921874</v>
      </c>
      <c r="W63" s="63">
        <f t="shared" si="78"/>
        <v>5067.362681135156</v>
      </c>
    </row>
    <row r="64" spans="1:47">
      <c r="A64" s="141"/>
      <c r="B64" t="s">
        <v>7</v>
      </c>
      <c r="C64" s="1">
        <f>VLOOKUP(B64,$B$4:$D$20,2,FALSE)</f>
        <v>7</v>
      </c>
      <c r="D64" s="47">
        <f>VLOOKUP(B64,$B$4:$D$20,3,FALSE)</f>
        <v>0.87037334752604167</v>
      </c>
      <c r="E64" s="63">
        <f>E25-E44</f>
        <v>3064.8133262369793</v>
      </c>
      <c r="F64" s="63">
        <f t="shared" ref="F64:N64" si="79">F25-F44</f>
        <v>3156.7577260240887</v>
      </c>
      <c r="G64" s="63">
        <f t="shared" si="79"/>
        <v>3254.8317524636718</v>
      </c>
      <c r="H64" s="63">
        <f t="shared" si="79"/>
        <v>3352.9057789032554</v>
      </c>
      <c r="I64" s="63">
        <f t="shared" si="79"/>
        <v>3457.1094319953127</v>
      </c>
      <c r="J64" s="63">
        <f t="shared" si="79"/>
        <v>3561.3130850873699</v>
      </c>
      <c r="K64" s="63">
        <f t="shared" si="79"/>
        <v>3671.6463648319009</v>
      </c>
      <c r="L64" s="63">
        <f t="shared" si="79"/>
        <v>3781.9796445764323</v>
      </c>
      <c r="M64" s="63">
        <f t="shared" si="79"/>
        <v>3898.4425509734374</v>
      </c>
      <c r="N64" s="63">
        <f t="shared" si="79"/>
        <v>4021.0350840229166</v>
      </c>
      <c r="O64" s="63">
        <f>O25-O44</f>
        <v>4143.6276170723959</v>
      </c>
      <c r="P64" s="63">
        <f>P25-P44</f>
        <v>4272.3497767743493</v>
      </c>
      <c r="Q64" s="74">
        <f t="shared" si="3"/>
        <v>43636.812138962108</v>
      </c>
      <c r="R64" s="63">
        <f t="shared" si="78"/>
        <v>4401.0719364763017</v>
      </c>
      <c r="S64" s="63">
        <f t="shared" si="78"/>
        <v>4535.9237228307293</v>
      </c>
      <c r="T64" s="63">
        <f t="shared" si="78"/>
        <v>4676.90513583763</v>
      </c>
      <c r="U64" s="63">
        <f t="shared" si="78"/>
        <v>4817.8865488445317</v>
      </c>
      <c r="V64" s="63">
        <f t="shared" si="78"/>
        <v>4964.9975885039066</v>
      </c>
      <c r="W64" s="63">
        <f t="shared" si="78"/>
        <v>5118.2382548157548</v>
      </c>
    </row>
    <row r="65" spans="1:23">
      <c r="A65" s="141"/>
      <c r="B65" t="s">
        <v>423</v>
      </c>
      <c r="C65" s="1">
        <f>VLOOKUP(B65,$B$4:$D$20,2,FALSE)</f>
        <v>7</v>
      </c>
      <c r="D65" s="47">
        <f>VLOOKUP(B65,$B$4:$D$20,3,FALSE)</f>
        <v>0.75699062292038688</v>
      </c>
      <c r="E65" s="63">
        <f>E26-E45</f>
        <v>3121.5046885398065</v>
      </c>
      <c r="F65" s="63">
        <f t="shared" ref="F65:N65" si="80">F26-F45</f>
        <v>3215.1498291960006</v>
      </c>
      <c r="G65" s="63">
        <f t="shared" si="80"/>
        <v>3315.0379792292747</v>
      </c>
      <c r="H65" s="63">
        <f t="shared" si="80"/>
        <v>3414.9261292625483</v>
      </c>
      <c r="I65" s="63">
        <f t="shared" si="80"/>
        <v>3521.0572886729019</v>
      </c>
      <c r="J65" s="63">
        <f t="shared" si="80"/>
        <v>3627.188448083255</v>
      </c>
      <c r="K65" s="63">
        <f t="shared" si="80"/>
        <v>3739.5626168706881</v>
      </c>
      <c r="L65" s="63">
        <f t="shared" si="80"/>
        <v>3851.9367856581212</v>
      </c>
      <c r="M65" s="63">
        <f t="shared" si="80"/>
        <v>3970.5539638226337</v>
      </c>
      <c r="N65" s="63">
        <f t="shared" si="80"/>
        <v>4095.4141513642262</v>
      </c>
      <c r="O65" s="63">
        <f>O26-O45</f>
        <v>4220.2743389058187</v>
      </c>
      <c r="P65" s="63">
        <f>P26-P45</f>
        <v>4351.3775358244902</v>
      </c>
      <c r="Q65" s="74">
        <f t="shared" si="3"/>
        <v>44443.983755429763</v>
      </c>
      <c r="R65" s="63">
        <f t="shared" si="78"/>
        <v>4482.4807327431627</v>
      </c>
      <c r="S65" s="63">
        <f t="shared" si="78"/>
        <v>4619.8269390389141</v>
      </c>
      <c r="T65" s="63">
        <f t="shared" si="78"/>
        <v>4763.4161547117446</v>
      </c>
      <c r="U65" s="63">
        <f t="shared" si="78"/>
        <v>4907.0053703845761</v>
      </c>
      <c r="V65" s="63">
        <f t="shared" si="78"/>
        <v>5056.8375954344865</v>
      </c>
      <c r="W65" s="63">
        <f t="shared" si="78"/>
        <v>5212.9128298614769</v>
      </c>
    </row>
    <row r="66" spans="1:23">
      <c r="A66" s="141"/>
      <c r="B66" t="s">
        <v>238</v>
      </c>
      <c r="C66" s="1">
        <f>VLOOKUP(B66,$B$4:$D$20,2,FALSE)</f>
        <v>5.25</v>
      </c>
      <c r="D66" s="47">
        <f>VLOOKUP(B66,$B$4:$D$20,3,FALSE)</f>
        <v>0.71875000000000011</v>
      </c>
      <c r="E66" s="63">
        <f>E27-E46</f>
        <v>2265.625</v>
      </c>
      <c r="F66" s="63">
        <f t="shared" ref="F66:N66" si="81">F27-F46</f>
        <v>2333.59375</v>
      </c>
      <c r="G66" s="63">
        <f t="shared" si="81"/>
        <v>2406.09375</v>
      </c>
      <c r="H66" s="63">
        <f t="shared" si="81"/>
        <v>2478.59375</v>
      </c>
      <c r="I66" s="63">
        <f t="shared" si="81"/>
        <v>2555.625</v>
      </c>
      <c r="J66" s="63">
        <f t="shared" si="81"/>
        <v>2632.65625</v>
      </c>
      <c r="K66" s="63">
        <f t="shared" si="81"/>
        <v>2714.21875</v>
      </c>
      <c r="L66" s="63">
        <f t="shared" si="81"/>
        <v>2795.78125</v>
      </c>
      <c r="M66" s="63">
        <f t="shared" si="81"/>
        <v>2881.875</v>
      </c>
      <c r="N66" s="63">
        <f t="shared" si="81"/>
        <v>2972.5</v>
      </c>
      <c r="O66" s="63">
        <f>O27-O46</f>
        <v>3063.125</v>
      </c>
      <c r="P66" s="63">
        <f>P27-P46</f>
        <v>3158.28125</v>
      </c>
      <c r="Q66" s="74">
        <f t="shared" si="3"/>
        <v>32257.96875</v>
      </c>
      <c r="R66" s="63">
        <f t="shared" si="78"/>
        <v>3253.4375</v>
      </c>
      <c r="S66" s="63">
        <f t="shared" si="78"/>
        <v>3353.125</v>
      </c>
      <c r="T66" s="63">
        <f t="shared" si="78"/>
        <v>3457.34375</v>
      </c>
      <c r="U66" s="63">
        <f t="shared" si="78"/>
        <v>3561.5625</v>
      </c>
      <c r="V66" s="63">
        <f t="shared" si="78"/>
        <v>3670.3125</v>
      </c>
      <c r="W66" s="63">
        <f t="shared" si="78"/>
        <v>3783.59375</v>
      </c>
    </row>
    <row r="67" spans="1:23">
      <c r="A67" s="141"/>
      <c r="C67" s="1" t="e">
        <f t="shared" ref="C67:C71" si="82">VLOOKUP(B67,$B$4:$D$20,2,FALSE)</f>
        <v>#N/A</v>
      </c>
      <c r="D67" s="47" t="e">
        <f t="shared" ref="D67:D71" si="83">VLOOKUP(B67,$B$4:$D$20,3,FALSE)</f>
        <v>#N/A</v>
      </c>
      <c r="E67" s="63">
        <f t="shared" ref="E67:P67" si="84">E28-E47</f>
        <v>0</v>
      </c>
      <c r="F67" s="63">
        <f t="shared" si="84"/>
        <v>0</v>
      </c>
      <c r="G67" s="63">
        <f t="shared" si="84"/>
        <v>0</v>
      </c>
      <c r="H67" s="63">
        <f t="shared" si="84"/>
        <v>0</v>
      </c>
      <c r="I67" s="63">
        <f t="shared" si="84"/>
        <v>0</v>
      </c>
      <c r="J67" s="63">
        <f t="shared" si="84"/>
        <v>0</v>
      </c>
      <c r="K67" s="63">
        <f t="shared" si="84"/>
        <v>0</v>
      </c>
      <c r="L67" s="63">
        <f t="shared" si="84"/>
        <v>0</v>
      </c>
      <c r="M67" s="63">
        <f t="shared" si="84"/>
        <v>0</v>
      </c>
      <c r="N67" s="63">
        <f t="shared" si="84"/>
        <v>0</v>
      </c>
      <c r="O67" s="63">
        <f t="shared" si="84"/>
        <v>0</v>
      </c>
      <c r="P67" s="63">
        <f t="shared" si="84"/>
        <v>0</v>
      </c>
      <c r="Q67" s="74">
        <f t="shared" ref="Q67:Q71" si="85">SUM(E67:P67)</f>
        <v>0</v>
      </c>
      <c r="R67" s="63">
        <f t="shared" ref="R67:W67" si="86">R28-R47</f>
        <v>0</v>
      </c>
      <c r="S67" s="63">
        <f t="shared" si="86"/>
        <v>0</v>
      </c>
      <c r="T67" s="63">
        <f t="shared" si="86"/>
        <v>0</v>
      </c>
      <c r="U67" s="63">
        <f t="shared" si="86"/>
        <v>0</v>
      </c>
      <c r="V67" s="63">
        <f t="shared" si="86"/>
        <v>0</v>
      </c>
      <c r="W67" s="63">
        <f t="shared" si="86"/>
        <v>0</v>
      </c>
    </row>
    <row r="68" spans="1:23">
      <c r="A68" s="141"/>
      <c r="C68" s="1" t="e">
        <f t="shared" si="82"/>
        <v>#N/A</v>
      </c>
      <c r="D68" s="47" t="e">
        <f t="shared" si="83"/>
        <v>#N/A</v>
      </c>
      <c r="E68" s="63">
        <f t="shared" ref="E68:P68" si="87">E29-E48</f>
        <v>0</v>
      </c>
      <c r="F68" s="63">
        <f t="shared" si="87"/>
        <v>0</v>
      </c>
      <c r="G68" s="63">
        <f t="shared" si="87"/>
        <v>0</v>
      </c>
      <c r="H68" s="63">
        <f t="shared" si="87"/>
        <v>0</v>
      </c>
      <c r="I68" s="63">
        <f t="shared" si="87"/>
        <v>0</v>
      </c>
      <c r="J68" s="63">
        <f t="shared" si="87"/>
        <v>0</v>
      </c>
      <c r="K68" s="63">
        <f t="shared" si="87"/>
        <v>0</v>
      </c>
      <c r="L68" s="63">
        <f t="shared" si="87"/>
        <v>0</v>
      </c>
      <c r="M68" s="63">
        <f t="shared" si="87"/>
        <v>0</v>
      </c>
      <c r="N68" s="63">
        <f t="shared" si="87"/>
        <v>0</v>
      </c>
      <c r="O68" s="63">
        <f t="shared" si="87"/>
        <v>0</v>
      </c>
      <c r="P68" s="63">
        <f t="shared" si="87"/>
        <v>0</v>
      </c>
      <c r="Q68" s="74">
        <f t="shared" si="85"/>
        <v>0</v>
      </c>
      <c r="R68" s="63">
        <f t="shared" ref="R68:W68" si="88">R29-R48</f>
        <v>0</v>
      </c>
      <c r="S68" s="63">
        <f t="shared" si="88"/>
        <v>0</v>
      </c>
      <c r="T68" s="63">
        <f t="shared" si="88"/>
        <v>0</v>
      </c>
      <c r="U68" s="63">
        <f t="shared" si="88"/>
        <v>0</v>
      </c>
      <c r="V68" s="63">
        <f t="shared" si="88"/>
        <v>0</v>
      </c>
      <c r="W68" s="63">
        <f t="shared" si="88"/>
        <v>0</v>
      </c>
    </row>
    <row r="69" spans="1:23">
      <c r="A69" s="141"/>
      <c r="C69" s="1" t="e">
        <f t="shared" si="82"/>
        <v>#N/A</v>
      </c>
      <c r="D69" s="47" t="e">
        <f t="shared" si="83"/>
        <v>#N/A</v>
      </c>
      <c r="E69" s="63">
        <f t="shared" ref="E69:P69" si="89">E30-E49</f>
        <v>0</v>
      </c>
      <c r="F69" s="63">
        <f t="shared" si="89"/>
        <v>0</v>
      </c>
      <c r="G69" s="63">
        <f t="shared" si="89"/>
        <v>0</v>
      </c>
      <c r="H69" s="63">
        <f t="shared" si="89"/>
        <v>0</v>
      </c>
      <c r="I69" s="63">
        <f t="shared" si="89"/>
        <v>0</v>
      </c>
      <c r="J69" s="63">
        <f t="shared" si="89"/>
        <v>0</v>
      </c>
      <c r="K69" s="63">
        <f t="shared" si="89"/>
        <v>0</v>
      </c>
      <c r="L69" s="63">
        <f t="shared" si="89"/>
        <v>0</v>
      </c>
      <c r="M69" s="63">
        <f t="shared" si="89"/>
        <v>0</v>
      </c>
      <c r="N69" s="63">
        <f t="shared" si="89"/>
        <v>0</v>
      </c>
      <c r="O69" s="63">
        <f t="shared" si="89"/>
        <v>0</v>
      </c>
      <c r="P69" s="63">
        <f t="shared" si="89"/>
        <v>0</v>
      </c>
      <c r="Q69" s="74">
        <f t="shared" si="85"/>
        <v>0</v>
      </c>
      <c r="R69" s="63">
        <f t="shared" ref="R69:W69" si="90">R30-R49</f>
        <v>0</v>
      </c>
      <c r="S69" s="63">
        <f t="shared" si="90"/>
        <v>0</v>
      </c>
      <c r="T69" s="63">
        <f t="shared" si="90"/>
        <v>0</v>
      </c>
      <c r="U69" s="63">
        <f t="shared" si="90"/>
        <v>0</v>
      </c>
      <c r="V69" s="63">
        <f t="shared" si="90"/>
        <v>0</v>
      </c>
      <c r="W69" s="63">
        <f t="shared" si="90"/>
        <v>0</v>
      </c>
    </row>
    <row r="70" spans="1:23">
      <c r="A70" s="141"/>
      <c r="C70" s="1" t="e">
        <f t="shared" si="82"/>
        <v>#N/A</v>
      </c>
      <c r="D70" s="47" t="e">
        <f t="shared" si="83"/>
        <v>#N/A</v>
      </c>
      <c r="E70" s="63">
        <f t="shared" ref="E70:P70" si="91">E31-E50</f>
        <v>0</v>
      </c>
      <c r="F70" s="63">
        <f t="shared" si="91"/>
        <v>0</v>
      </c>
      <c r="G70" s="63">
        <f t="shared" si="91"/>
        <v>0</v>
      </c>
      <c r="H70" s="63">
        <f t="shared" si="91"/>
        <v>0</v>
      </c>
      <c r="I70" s="63">
        <f t="shared" si="91"/>
        <v>0</v>
      </c>
      <c r="J70" s="63">
        <f t="shared" si="91"/>
        <v>0</v>
      </c>
      <c r="K70" s="63">
        <f t="shared" si="91"/>
        <v>0</v>
      </c>
      <c r="L70" s="63">
        <f t="shared" si="91"/>
        <v>0</v>
      </c>
      <c r="M70" s="63">
        <f t="shared" si="91"/>
        <v>0</v>
      </c>
      <c r="N70" s="63">
        <f t="shared" si="91"/>
        <v>0</v>
      </c>
      <c r="O70" s="63">
        <f t="shared" si="91"/>
        <v>0</v>
      </c>
      <c r="P70" s="63">
        <f t="shared" si="91"/>
        <v>0</v>
      </c>
      <c r="Q70" s="74">
        <f t="shared" si="85"/>
        <v>0</v>
      </c>
      <c r="R70" s="63">
        <f t="shared" ref="R70:W70" si="92">R31-R50</f>
        <v>0</v>
      </c>
      <c r="S70" s="63">
        <f t="shared" si="92"/>
        <v>0</v>
      </c>
      <c r="T70" s="63">
        <f t="shared" si="92"/>
        <v>0</v>
      </c>
      <c r="U70" s="63">
        <f t="shared" si="92"/>
        <v>0</v>
      </c>
      <c r="V70" s="63">
        <f t="shared" si="92"/>
        <v>0</v>
      </c>
      <c r="W70" s="63">
        <f t="shared" si="92"/>
        <v>0</v>
      </c>
    </row>
    <row r="71" spans="1:23">
      <c r="A71" s="141"/>
      <c r="C71" s="1" t="e">
        <f t="shared" si="82"/>
        <v>#N/A</v>
      </c>
      <c r="D71" s="47" t="e">
        <f t="shared" si="83"/>
        <v>#N/A</v>
      </c>
      <c r="E71" s="63">
        <f t="shared" ref="E71:P71" si="93">E32-E51</f>
        <v>0</v>
      </c>
      <c r="F71" s="63">
        <f t="shared" si="93"/>
        <v>0</v>
      </c>
      <c r="G71" s="63">
        <f t="shared" si="93"/>
        <v>0</v>
      </c>
      <c r="H71" s="63">
        <f t="shared" si="93"/>
        <v>0</v>
      </c>
      <c r="I71" s="63">
        <f t="shared" si="93"/>
        <v>0</v>
      </c>
      <c r="J71" s="63">
        <f t="shared" si="93"/>
        <v>0</v>
      </c>
      <c r="K71" s="63">
        <f t="shared" si="93"/>
        <v>0</v>
      </c>
      <c r="L71" s="63">
        <f t="shared" si="93"/>
        <v>0</v>
      </c>
      <c r="M71" s="63">
        <f t="shared" si="93"/>
        <v>0</v>
      </c>
      <c r="N71" s="63">
        <f t="shared" si="93"/>
        <v>0</v>
      </c>
      <c r="O71" s="63">
        <f t="shared" si="93"/>
        <v>0</v>
      </c>
      <c r="P71" s="63">
        <f t="shared" si="93"/>
        <v>0</v>
      </c>
      <c r="Q71" s="74">
        <f t="shared" si="85"/>
        <v>0</v>
      </c>
      <c r="R71" s="63">
        <f t="shared" ref="R71:W71" si="94">R32-R51</f>
        <v>0</v>
      </c>
      <c r="S71" s="63">
        <f t="shared" si="94"/>
        <v>0</v>
      </c>
      <c r="T71" s="63">
        <f t="shared" si="94"/>
        <v>0</v>
      </c>
      <c r="U71" s="63">
        <f t="shared" si="94"/>
        <v>0</v>
      </c>
      <c r="V71" s="63">
        <f t="shared" si="94"/>
        <v>0</v>
      </c>
      <c r="W71" s="63">
        <f t="shared" si="94"/>
        <v>0</v>
      </c>
    </row>
    <row r="72" spans="1:23">
      <c r="A72" s="141"/>
      <c r="B72" t="s">
        <v>239</v>
      </c>
      <c r="C72" s="1">
        <f>VLOOKUP(B72,$B$4:$D$20,2,FALSE)</f>
        <v>4</v>
      </c>
      <c r="D72" s="47">
        <f>VLOOKUP(B72,$B$4:$D$20,3,FALSE)</f>
        <v>0.8</v>
      </c>
      <c r="E72" s="63">
        <f>E33-E52</f>
        <v>240</v>
      </c>
      <c r="F72" s="63">
        <f t="shared" ref="F72:N72" si="95">F33-F52</f>
        <v>249.6</v>
      </c>
      <c r="G72" s="63">
        <f t="shared" si="95"/>
        <v>259.2</v>
      </c>
      <c r="H72" s="63">
        <f t="shared" si="95"/>
        <v>268.8</v>
      </c>
      <c r="I72" s="63">
        <f t="shared" si="95"/>
        <v>278.39999999999998</v>
      </c>
      <c r="J72" s="63">
        <f t="shared" si="95"/>
        <v>288</v>
      </c>
      <c r="K72" s="63">
        <f t="shared" si="95"/>
        <v>297.60000000000002</v>
      </c>
      <c r="L72" s="63">
        <f t="shared" si="95"/>
        <v>307.2</v>
      </c>
      <c r="M72" s="63">
        <f t="shared" si="95"/>
        <v>316.8</v>
      </c>
      <c r="N72" s="63">
        <f t="shared" si="95"/>
        <v>326.39999999999998</v>
      </c>
      <c r="O72" s="63">
        <f>O33-O52</f>
        <v>339.2</v>
      </c>
      <c r="P72" s="63">
        <f>P33-P52</f>
        <v>352</v>
      </c>
      <c r="Q72" s="74">
        <f t="shared" si="3"/>
        <v>3523.2</v>
      </c>
      <c r="R72" s="63">
        <f t="shared" ref="R72:W73" si="96">R33-R52</f>
        <v>364.8</v>
      </c>
      <c r="S72" s="63">
        <f t="shared" si="96"/>
        <v>377.6</v>
      </c>
      <c r="T72" s="63">
        <f t="shared" si="96"/>
        <v>390.4</v>
      </c>
      <c r="U72" s="63">
        <f t="shared" si="96"/>
        <v>403.2</v>
      </c>
      <c r="V72" s="63">
        <f t="shared" si="96"/>
        <v>416</v>
      </c>
      <c r="W72" s="63">
        <f t="shared" si="96"/>
        <v>428.8</v>
      </c>
    </row>
    <row r="73" spans="1:23">
      <c r="A73" s="141"/>
      <c r="B73" t="s">
        <v>270</v>
      </c>
      <c r="C73" s="1">
        <f>VLOOKUP(B73,$B$4:$D$20,2,FALSE)</f>
        <v>1</v>
      </c>
      <c r="D73" s="47">
        <f>VLOOKUP(B73,$B$4:$D$20,3,FALSE)</f>
        <v>0.3</v>
      </c>
      <c r="E73" s="63">
        <f>E34-E53</f>
        <v>70</v>
      </c>
      <c r="F73" s="63">
        <f t="shared" ref="F73:N73" si="97">F34-F53</f>
        <v>72.099999999999994</v>
      </c>
      <c r="G73" s="63">
        <f t="shared" si="97"/>
        <v>74.900000000000006</v>
      </c>
      <c r="H73" s="63">
        <f t="shared" si="97"/>
        <v>77.7</v>
      </c>
      <c r="I73" s="63">
        <f t="shared" si="97"/>
        <v>80.5</v>
      </c>
      <c r="J73" s="63">
        <f t="shared" si="97"/>
        <v>83.300000000000011</v>
      </c>
      <c r="K73" s="63">
        <f t="shared" si="97"/>
        <v>86.1</v>
      </c>
      <c r="L73" s="63">
        <f t="shared" si="97"/>
        <v>88.9</v>
      </c>
      <c r="M73" s="63">
        <f t="shared" si="97"/>
        <v>91.7</v>
      </c>
      <c r="N73" s="63">
        <f t="shared" si="97"/>
        <v>94.5</v>
      </c>
      <c r="O73" s="63">
        <f>O34-O53</f>
        <v>98</v>
      </c>
      <c r="P73" s="63">
        <f>P34-P53</f>
        <v>101.5</v>
      </c>
      <c r="Q73" s="74">
        <f t="shared" ref="Q73" si="98">SUM(E73:P73)</f>
        <v>1019.2</v>
      </c>
      <c r="R73" s="63">
        <f t="shared" si="96"/>
        <v>105</v>
      </c>
      <c r="S73" s="63">
        <f t="shared" si="96"/>
        <v>108.5</v>
      </c>
      <c r="T73" s="63">
        <f t="shared" si="96"/>
        <v>112</v>
      </c>
      <c r="U73" s="63">
        <f t="shared" si="96"/>
        <v>115.5</v>
      </c>
      <c r="V73" s="63">
        <f t="shared" si="96"/>
        <v>119</v>
      </c>
      <c r="W73" s="63">
        <f t="shared" si="96"/>
        <v>123.2</v>
      </c>
    </row>
    <row r="74" spans="1:23" s="49" customFormat="1">
      <c r="A74" s="141"/>
      <c r="B74" s="128" t="s">
        <v>240</v>
      </c>
      <c r="C74" s="128"/>
      <c r="D74" s="129"/>
      <c r="E74" s="64">
        <f>SUM(E62:E73)</f>
        <v>14862.709586495535</v>
      </c>
      <c r="F74" s="64">
        <f t="shared" ref="F74:W74" si="99">SUM(F62:F73)</f>
        <v>15310.990874090403</v>
      </c>
      <c r="G74" s="64">
        <f t="shared" si="99"/>
        <v>15789.07758085826</v>
      </c>
      <c r="H74" s="64">
        <f t="shared" si="99"/>
        <v>16267.164287626118</v>
      </c>
      <c r="I74" s="64">
        <f t="shared" si="99"/>
        <v>16774.356413566966</v>
      </c>
      <c r="J74" s="64">
        <f t="shared" si="99"/>
        <v>17281.54853950781</v>
      </c>
      <c r="K74" s="64">
        <f t="shared" si="99"/>
        <v>17817.846084621648</v>
      </c>
      <c r="L74" s="64">
        <f t="shared" si="99"/>
        <v>18354.143629735492</v>
      </c>
      <c r="M74" s="64">
        <f t="shared" si="99"/>
        <v>18919.546594022322</v>
      </c>
      <c r="N74" s="64">
        <f t="shared" si="99"/>
        <v>19514.054977482141</v>
      </c>
      <c r="O74" s="64">
        <f t="shared" si="99"/>
        <v>20112.463360941965</v>
      </c>
      <c r="P74" s="64">
        <f t="shared" si="99"/>
        <v>20739.977163574778</v>
      </c>
      <c r="Q74" s="64">
        <f t="shared" si="99"/>
        <v>211743.87909252348</v>
      </c>
      <c r="R74" s="64">
        <f t="shared" si="99"/>
        <v>21367.490966207588</v>
      </c>
      <c r="S74" s="64">
        <f t="shared" si="99"/>
        <v>22024.11018801339</v>
      </c>
      <c r="T74" s="64">
        <f t="shared" si="99"/>
        <v>22709.834828992189</v>
      </c>
      <c r="U74" s="64">
        <f t="shared" si="99"/>
        <v>23395.559469970984</v>
      </c>
      <c r="V74" s="64">
        <f t="shared" si="99"/>
        <v>24110.389530122768</v>
      </c>
      <c r="W74" s="64">
        <f t="shared" si="99"/>
        <v>24855.025009447545</v>
      </c>
    </row>
    <row r="75" spans="1:23">
      <c r="A75" s="141"/>
      <c r="B75" t="s">
        <v>228</v>
      </c>
      <c r="C75" s="1">
        <f>VLOOKUP(B75,$B$4:$D$20,2,FALSE)</f>
        <v>5</v>
      </c>
      <c r="D75" s="47">
        <f>VLOOKUP(B75,$B$4:$D$20,3,FALSE)</f>
        <v>0.9</v>
      </c>
      <c r="E75" s="63">
        <f t="shared" ref="E75:P75" si="100">E36-E55</f>
        <v>205</v>
      </c>
      <c r="F75" s="63">
        <f t="shared" si="100"/>
        <v>213.2</v>
      </c>
      <c r="G75" s="63">
        <f t="shared" si="100"/>
        <v>221.4</v>
      </c>
      <c r="H75" s="63">
        <f t="shared" si="100"/>
        <v>229.6</v>
      </c>
      <c r="I75" s="63">
        <f t="shared" si="100"/>
        <v>237.8</v>
      </c>
      <c r="J75" s="63">
        <f t="shared" si="100"/>
        <v>246</v>
      </c>
      <c r="K75" s="63">
        <f t="shared" si="100"/>
        <v>254.2</v>
      </c>
      <c r="L75" s="63">
        <f t="shared" si="100"/>
        <v>262.39999999999998</v>
      </c>
      <c r="M75" s="63">
        <f t="shared" si="100"/>
        <v>270.60000000000002</v>
      </c>
      <c r="N75" s="63">
        <f t="shared" si="100"/>
        <v>278.8</v>
      </c>
      <c r="O75" s="63">
        <f t="shared" si="100"/>
        <v>291.10000000000002</v>
      </c>
      <c r="P75" s="63">
        <f t="shared" si="100"/>
        <v>303.39999999999998</v>
      </c>
      <c r="Q75" s="74">
        <f t="shared" si="3"/>
        <v>3013.5</v>
      </c>
      <c r="R75" s="63">
        <f t="shared" ref="R75:W78" si="101">R36-R55</f>
        <v>315.7</v>
      </c>
      <c r="S75" s="63">
        <f t="shared" si="101"/>
        <v>328</v>
      </c>
      <c r="T75" s="63">
        <f t="shared" si="101"/>
        <v>340.3</v>
      </c>
      <c r="U75" s="63">
        <f t="shared" si="101"/>
        <v>352.6</v>
      </c>
      <c r="V75" s="63">
        <f t="shared" si="101"/>
        <v>364.9</v>
      </c>
      <c r="W75" s="63">
        <f t="shared" si="101"/>
        <v>377.2</v>
      </c>
    </row>
    <row r="76" spans="1:23">
      <c r="A76" s="141"/>
      <c r="B76" t="s">
        <v>229</v>
      </c>
      <c r="C76" s="1">
        <f>VLOOKUP(B76,$B$4:$D$20,2,FALSE)</f>
        <v>25</v>
      </c>
      <c r="D76" s="47">
        <f>VLOOKUP(B76,$B$4:$D$20,3,FALSE)</f>
        <v>15</v>
      </c>
      <c r="E76" s="63">
        <f t="shared" ref="E76:P76" si="102">E37-E56</f>
        <v>250</v>
      </c>
      <c r="F76" s="63">
        <f t="shared" si="102"/>
        <v>260</v>
      </c>
      <c r="G76" s="63">
        <f t="shared" si="102"/>
        <v>270</v>
      </c>
      <c r="H76" s="63">
        <f t="shared" si="102"/>
        <v>280</v>
      </c>
      <c r="I76" s="63">
        <f t="shared" si="102"/>
        <v>290</v>
      </c>
      <c r="J76" s="63">
        <f t="shared" si="102"/>
        <v>300</v>
      </c>
      <c r="K76" s="63">
        <f t="shared" si="102"/>
        <v>310</v>
      </c>
      <c r="L76" s="63">
        <f t="shared" si="102"/>
        <v>320</v>
      </c>
      <c r="M76" s="63">
        <f t="shared" si="102"/>
        <v>330</v>
      </c>
      <c r="N76" s="63">
        <f t="shared" si="102"/>
        <v>340</v>
      </c>
      <c r="O76" s="63">
        <f t="shared" si="102"/>
        <v>360</v>
      </c>
      <c r="P76" s="63">
        <f t="shared" si="102"/>
        <v>380</v>
      </c>
      <c r="Q76" s="74">
        <f t="shared" si="3"/>
        <v>3690</v>
      </c>
      <c r="R76" s="63">
        <f t="shared" si="101"/>
        <v>400</v>
      </c>
      <c r="S76" s="63">
        <f t="shared" si="101"/>
        <v>420</v>
      </c>
      <c r="T76" s="63">
        <f t="shared" si="101"/>
        <v>440</v>
      </c>
      <c r="U76" s="63">
        <f t="shared" si="101"/>
        <v>460</v>
      </c>
      <c r="V76" s="63">
        <f t="shared" si="101"/>
        <v>480</v>
      </c>
      <c r="W76" s="63">
        <f t="shared" si="101"/>
        <v>500</v>
      </c>
    </row>
    <row r="77" spans="1:23">
      <c r="A77" s="141"/>
      <c r="B77" t="s">
        <v>230</v>
      </c>
      <c r="C77" s="1">
        <f>VLOOKUP(B77,$B$4:$D$20,2,FALSE)</f>
        <v>12</v>
      </c>
      <c r="D77" s="47">
        <f>VLOOKUP(B77,$B$4:$D$20,3,FALSE)</f>
        <v>5</v>
      </c>
      <c r="E77" s="63">
        <f t="shared" ref="E77:P77" si="103">E38-E57</f>
        <v>175</v>
      </c>
      <c r="F77" s="63">
        <f t="shared" si="103"/>
        <v>182</v>
      </c>
      <c r="G77" s="63">
        <f t="shared" si="103"/>
        <v>189</v>
      </c>
      <c r="H77" s="63">
        <f t="shared" si="103"/>
        <v>196</v>
      </c>
      <c r="I77" s="63">
        <f t="shared" si="103"/>
        <v>203</v>
      </c>
      <c r="J77" s="63">
        <f t="shared" si="103"/>
        <v>210</v>
      </c>
      <c r="K77" s="63">
        <f t="shared" si="103"/>
        <v>217</v>
      </c>
      <c r="L77" s="63">
        <f t="shared" si="103"/>
        <v>224</v>
      </c>
      <c r="M77" s="63">
        <f t="shared" si="103"/>
        <v>231</v>
      </c>
      <c r="N77" s="63">
        <f t="shared" si="103"/>
        <v>238</v>
      </c>
      <c r="O77" s="63">
        <f t="shared" si="103"/>
        <v>252</v>
      </c>
      <c r="P77" s="63">
        <f t="shared" si="103"/>
        <v>266</v>
      </c>
      <c r="Q77" s="74">
        <f t="shared" si="3"/>
        <v>2583</v>
      </c>
      <c r="R77" s="63">
        <f t="shared" si="101"/>
        <v>280</v>
      </c>
      <c r="S77" s="63">
        <f t="shared" si="101"/>
        <v>294</v>
      </c>
      <c r="T77" s="63">
        <f t="shared" si="101"/>
        <v>308</v>
      </c>
      <c r="U77" s="63">
        <f t="shared" si="101"/>
        <v>322</v>
      </c>
      <c r="V77" s="63">
        <f t="shared" si="101"/>
        <v>336</v>
      </c>
      <c r="W77" s="63">
        <f t="shared" si="101"/>
        <v>350</v>
      </c>
    </row>
    <row r="78" spans="1:23">
      <c r="A78" s="141"/>
      <c r="B78" t="s">
        <v>231</v>
      </c>
      <c r="C78" s="1">
        <f>VLOOKUP(B78,$B$4:$D$20,2,FALSE)</f>
        <v>3.5</v>
      </c>
      <c r="D78" s="47">
        <f>VLOOKUP(B78,$B$4:$D$20,3,FALSE)</f>
        <v>0.5</v>
      </c>
      <c r="E78" s="63">
        <f t="shared" ref="E78:P78" si="104">E39-E58</f>
        <v>150</v>
      </c>
      <c r="F78" s="63">
        <f t="shared" si="104"/>
        <v>156</v>
      </c>
      <c r="G78" s="63">
        <f t="shared" si="104"/>
        <v>162</v>
      </c>
      <c r="H78" s="63">
        <f t="shared" si="104"/>
        <v>168</v>
      </c>
      <c r="I78" s="63">
        <f t="shared" si="104"/>
        <v>174</v>
      </c>
      <c r="J78" s="63">
        <f t="shared" si="104"/>
        <v>180</v>
      </c>
      <c r="K78" s="63">
        <f t="shared" si="104"/>
        <v>186</v>
      </c>
      <c r="L78" s="63">
        <f t="shared" si="104"/>
        <v>192</v>
      </c>
      <c r="M78" s="63">
        <f t="shared" si="104"/>
        <v>198</v>
      </c>
      <c r="N78" s="63">
        <f t="shared" si="104"/>
        <v>204</v>
      </c>
      <c r="O78" s="63">
        <f t="shared" si="104"/>
        <v>213</v>
      </c>
      <c r="P78" s="63">
        <f t="shared" si="104"/>
        <v>222</v>
      </c>
      <c r="Q78" s="74">
        <f t="shared" si="3"/>
        <v>2205</v>
      </c>
      <c r="R78" s="63">
        <f t="shared" si="101"/>
        <v>231</v>
      </c>
      <c r="S78" s="63">
        <f t="shared" si="101"/>
        <v>240</v>
      </c>
      <c r="T78" s="63">
        <f t="shared" si="101"/>
        <v>249</v>
      </c>
      <c r="U78" s="63">
        <f t="shared" si="101"/>
        <v>258</v>
      </c>
      <c r="V78" s="63">
        <f t="shared" si="101"/>
        <v>267</v>
      </c>
      <c r="W78" s="63">
        <f t="shared" si="101"/>
        <v>276</v>
      </c>
    </row>
    <row r="79" spans="1:23" s="59" customFormat="1" ht="16" thickBot="1">
      <c r="A79" s="142"/>
      <c r="B79" s="130" t="s">
        <v>241</v>
      </c>
      <c r="C79" s="130"/>
      <c r="D79" s="131"/>
      <c r="E79" s="65">
        <f>SUM(E75:E78)</f>
        <v>780</v>
      </c>
      <c r="F79" s="65">
        <f t="shared" ref="F79:N79" si="105">SUM(F75:F78)</f>
        <v>811.2</v>
      </c>
      <c r="G79" s="65">
        <f t="shared" si="105"/>
        <v>842.4</v>
      </c>
      <c r="H79" s="65">
        <f t="shared" si="105"/>
        <v>873.6</v>
      </c>
      <c r="I79" s="65">
        <f t="shared" si="105"/>
        <v>904.8</v>
      </c>
      <c r="J79" s="65">
        <f t="shared" si="105"/>
        <v>936</v>
      </c>
      <c r="K79" s="65">
        <f t="shared" si="105"/>
        <v>967.2</v>
      </c>
      <c r="L79" s="65">
        <f t="shared" si="105"/>
        <v>998.4</v>
      </c>
      <c r="M79" s="65">
        <f t="shared" si="105"/>
        <v>1029.5999999999999</v>
      </c>
      <c r="N79" s="65">
        <f t="shared" si="105"/>
        <v>1060.8</v>
      </c>
      <c r="O79" s="65">
        <f>SUM(O75:O78)</f>
        <v>1116.0999999999999</v>
      </c>
      <c r="P79" s="65">
        <f t="shared" ref="P79" si="106">SUM(P75:P78)</f>
        <v>1171.4000000000001</v>
      </c>
      <c r="Q79" s="75">
        <f t="shared" si="3"/>
        <v>11491.499999999998</v>
      </c>
      <c r="R79" s="65">
        <f t="shared" ref="R79" si="107">SUM(R75:R78)</f>
        <v>1226.7</v>
      </c>
      <c r="S79" s="65">
        <f t="shared" ref="S79" si="108">SUM(S75:S78)</f>
        <v>1282</v>
      </c>
      <c r="T79" s="65">
        <f t="shared" ref="T79" si="109">SUM(T75:T78)</f>
        <v>1337.3</v>
      </c>
      <c r="U79" s="65">
        <f t="shared" ref="U79" si="110">SUM(U75:U78)</f>
        <v>1392.6</v>
      </c>
      <c r="V79" s="65">
        <f t="shared" ref="V79" si="111">SUM(V75:V78)</f>
        <v>1447.9</v>
      </c>
      <c r="W79" s="65">
        <f t="shared" ref="W79" si="112">SUM(W75:W78)</f>
        <v>1503.2</v>
      </c>
    </row>
    <row r="80" spans="1:23" s="58" customFormat="1" ht="16" thickBot="1">
      <c r="A80" s="55"/>
      <c r="B80" s="56" t="s">
        <v>256</v>
      </c>
      <c r="C80" s="56"/>
      <c r="D80" s="57"/>
      <c r="E80" s="67">
        <f>E41-E61</f>
        <v>15070.792919828869</v>
      </c>
      <c r="F80" s="67">
        <f t="shared" ref="F80:W80" si="113">F41-F61</f>
        <v>15532.612707423736</v>
      </c>
      <c r="G80" s="67">
        <f t="shared" si="113"/>
        <v>16023.147414191593</v>
      </c>
      <c r="H80" s="67">
        <f t="shared" si="113"/>
        <v>16513.682120959449</v>
      </c>
      <c r="I80" s="67">
        <f t="shared" si="113"/>
        <v>17032.29108023363</v>
      </c>
      <c r="J80" s="67">
        <f t="shared" si="113"/>
        <v>17550.900039507811</v>
      </c>
      <c r="K80" s="67">
        <f t="shared" si="113"/>
        <v>18097.583251288317</v>
      </c>
      <c r="L80" s="67">
        <f t="shared" si="113"/>
        <v>18644.266463068823</v>
      </c>
      <c r="M80" s="67">
        <f t="shared" si="113"/>
        <v>19219.023927355654</v>
      </c>
      <c r="N80" s="67">
        <f t="shared" si="113"/>
        <v>19821.855644148811</v>
      </c>
      <c r="O80" s="67">
        <f t="shared" si="113"/>
        <v>20451.174360941965</v>
      </c>
      <c r="P80" s="67">
        <f t="shared" si="113"/>
        <v>21108.567330241443</v>
      </c>
      <c r="Q80" s="76">
        <f t="shared" si="113"/>
        <v>215065.8972591901</v>
      </c>
      <c r="R80" s="67">
        <f t="shared" si="113"/>
        <v>21765.960299540922</v>
      </c>
      <c r="S80" s="67">
        <f t="shared" si="113"/>
        <v>22451.427521346726</v>
      </c>
      <c r="T80" s="67">
        <f t="shared" si="113"/>
        <v>23164.968995658855</v>
      </c>
      <c r="U80" s="67">
        <f t="shared" si="113"/>
        <v>23878.510469970981</v>
      </c>
      <c r="V80" s="67">
        <f t="shared" si="113"/>
        <v>24620.126196789435</v>
      </c>
      <c r="W80" s="67">
        <f t="shared" si="113"/>
        <v>25390.456842780877</v>
      </c>
    </row>
    <row r="81" spans="1:4" ht="16" thickTop="1">
      <c r="A81" s="45"/>
      <c r="D81"/>
    </row>
    <row r="82" spans="1:4">
      <c r="A82" s="45"/>
      <c r="D82"/>
    </row>
    <row r="83" spans="1:4">
      <c r="A83" s="45"/>
      <c r="D83"/>
    </row>
    <row r="84" spans="1:4">
      <c r="A84" s="45"/>
      <c r="D84"/>
    </row>
    <row r="85" spans="1:4">
      <c r="A85" s="45"/>
      <c r="D85"/>
    </row>
    <row r="86" spans="1:4">
      <c r="A86" s="45"/>
      <c r="D86"/>
    </row>
    <row r="87" spans="1:4">
      <c r="A87" s="45"/>
    </row>
  </sheetData>
  <mergeCells count="16">
    <mergeCell ref="B74:D74"/>
    <mergeCell ref="B79:D79"/>
    <mergeCell ref="E1:P1"/>
    <mergeCell ref="A1:D1"/>
    <mergeCell ref="B60:D60"/>
    <mergeCell ref="B16:D16"/>
    <mergeCell ref="B21:D21"/>
    <mergeCell ref="B35:D35"/>
    <mergeCell ref="B54:D54"/>
    <mergeCell ref="B40:D40"/>
    <mergeCell ref="B59:D59"/>
    <mergeCell ref="A62:A79"/>
    <mergeCell ref="A23:A40"/>
    <mergeCell ref="A4:A21"/>
    <mergeCell ref="A42:A59"/>
    <mergeCell ref="A2:D2"/>
  </mergeCells>
  <phoneticPr fontId="12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7B27-78D3-4D70-BBDD-E02E9E80EFA5}">
  <dimension ref="A1:T333"/>
  <sheetViews>
    <sheetView zoomScale="90" zoomScaleNormal="9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F28" sqref="F28"/>
    </sheetView>
  </sheetViews>
  <sheetFormatPr baseColWidth="10" defaultColWidth="8.83203125" defaultRowHeight="15"/>
  <cols>
    <col min="1" max="1" width="21.33203125" bestFit="1" customWidth="1"/>
    <col min="2" max="2" width="20.5" style="5" bestFit="1" customWidth="1"/>
    <col min="3" max="3" width="13.5" style="15" bestFit="1" customWidth="1"/>
    <col min="4" max="4" width="19.1640625" style="1" customWidth="1"/>
    <col min="5" max="5" width="9.83203125" style="1" customWidth="1"/>
    <col min="6" max="6" width="11.1640625" style="1" bestFit="1" customWidth="1"/>
    <col min="7" max="7" width="13" style="1" bestFit="1" customWidth="1"/>
    <col min="8" max="8" width="2.5" customWidth="1"/>
    <col min="9" max="9" width="28.1640625" bestFit="1" customWidth="1"/>
    <col min="10" max="10" width="10.83203125" customWidth="1"/>
    <col min="11" max="11" width="4.83203125" bestFit="1" customWidth="1"/>
    <col min="12" max="12" width="8" customWidth="1"/>
    <col min="13" max="13" width="8.83203125" style="3"/>
    <col min="14" max="14" width="14.33203125" style="12" customWidth="1"/>
    <col min="15" max="15" width="13" style="12" customWidth="1"/>
    <col min="16" max="16" width="9" style="12" customWidth="1"/>
    <col min="17" max="17" width="11.5" customWidth="1"/>
    <col min="19" max="19" width="10" customWidth="1"/>
  </cols>
  <sheetData>
    <row r="1" spans="1:20">
      <c r="A1" t="s">
        <v>370</v>
      </c>
      <c r="B1" s="26">
        <v>2500</v>
      </c>
      <c r="E1" s="27"/>
      <c r="H1" s="32"/>
      <c r="I1" s="24"/>
      <c r="J1" s="24"/>
      <c r="K1" s="24"/>
      <c r="L1" s="24"/>
      <c r="P1" s="25"/>
      <c r="Q1" s="24"/>
      <c r="R1" s="24"/>
      <c r="S1" s="24"/>
      <c r="T1" s="24"/>
    </row>
    <row r="2" spans="1:20" s="8" customFormat="1" ht="32">
      <c r="A2" s="7" t="s">
        <v>4</v>
      </c>
      <c r="B2" s="28" t="s">
        <v>5</v>
      </c>
      <c r="C2" s="29" t="s">
        <v>57</v>
      </c>
      <c r="D2" s="29" t="s">
        <v>56</v>
      </c>
      <c r="E2" s="29" t="s">
        <v>43</v>
      </c>
      <c r="F2" s="29" t="s">
        <v>55</v>
      </c>
      <c r="G2" s="29" t="s">
        <v>354</v>
      </c>
      <c r="H2" s="33"/>
      <c r="I2" s="7" t="s">
        <v>6</v>
      </c>
      <c r="J2" s="7" t="s">
        <v>109</v>
      </c>
      <c r="K2" s="7" t="s">
        <v>69</v>
      </c>
      <c r="L2" s="7" t="s">
        <v>106</v>
      </c>
      <c r="M2" s="30" t="s">
        <v>174</v>
      </c>
      <c r="N2" s="31" t="s">
        <v>54</v>
      </c>
      <c r="O2" s="31" t="s">
        <v>13</v>
      </c>
      <c r="P2" s="31" t="s">
        <v>44</v>
      </c>
      <c r="Q2" s="7" t="s">
        <v>45</v>
      </c>
      <c r="R2" s="7" t="s">
        <v>72</v>
      </c>
      <c r="S2" s="7" t="s">
        <v>58</v>
      </c>
      <c r="T2" s="7" t="s">
        <v>60</v>
      </c>
    </row>
    <row r="3" spans="1:20">
      <c r="A3" t="s">
        <v>424</v>
      </c>
      <c r="B3" s="5">
        <v>500</v>
      </c>
      <c r="C3" s="15">
        <f>VLOOKUP(A3,'Menu Items'!A:E,5,FALSE)+$E$16+$E$15+$E$14</f>
        <v>0.86716467828124999</v>
      </c>
      <c r="D3" s="15">
        <f>C3*B3</f>
        <v>433.58233914062498</v>
      </c>
      <c r="E3" s="15">
        <v>7</v>
      </c>
      <c r="F3" s="15">
        <f>E3-C3</f>
        <v>6.1328353217187503</v>
      </c>
      <c r="G3" s="15">
        <f>F3*B3</f>
        <v>3066.4176608593752</v>
      </c>
      <c r="H3" s="32"/>
      <c r="I3" t="s">
        <v>0</v>
      </c>
      <c r="J3" t="s">
        <v>117</v>
      </c>
      <c r="K3" t="s">
        <v>31</v>
      </c>
      <c r="L3" t="str">
        <f t="shared" ref="L3:L29" si="0">K3</f>
        <v>ea</v>
      </c>
      <c r="M3" s="3">
        <f ca="1">SUMIF('Menu Items'!A:D,'Total Ingredients'!I3,'Menu Items'!D:D)+IFERROR(VLOOKUP(I3,'Menu Items'!$G$4:$J$100,4,FALSE),0)</f>
        <v>2500</v>
      </c>
      <c r="N3" s="12">
        <f t="shared" ref="N3:N43" ca="1" si="1">M3*O3</f>
        <v>312.5</v>
      </c>
      <c r="O3" s="12">
        <f>P3/Q3</f>
        <v>0.125</v>
      </c>
      <c r="P3" s="12">
        <v>18</v>
      </c>
      <c r="Q3">
        <v>144</v>
      </c>
      <c r="R3">
        <v>21</v>
      </c>
      <c r="S3" t="s">
        <v>64</v>
      </c>
      <c r="T3" s="16" t="s">
        <v>63</v>
      </c>
    </row>
    <row r="4" spans="1:20">
      <c r="A4" t="s">
        <v>300</v>
      </c>
      <c r="B4" s="5">
        <v>500</v>
      </c>
      <c r="C4" s="15">
        <f>VLOOKUP(A4,'Menu Items'!A:E,5,FALSE)+$E$16+$E$15+$E$14</f>
        <v>0.93130217828125017</v>
      </c>
      <c r="D4" s="15">
        <f>C4*B4</f>
        <v>465.65108914062506</v>
      </c>
      <c r="E4" s="120">
        <v>7</v>
      </c>
      <c r="F4" s="15">
        <f>E4-C4</f>
        <v>6.0686978217187502</v>
      </c>
      <c r="G4" s="15">
        <f>F4*B4</f>
        <v>3034.3489108593749</v>
      </c>
      <c r="H4" s="32"/>
      <c r="I4" t="s">
        <v>32</v>
      </c>
      <c r="J4" t="s">
        <v>110</v>
      </c>
      <c r="K4" t="s">
        <v>35</v>
      </c>
      <c r="L4" t="str">
        <f t="shared" si="0"/>
        <v>lbs</v>
      </c>
      <c r="M4" s="3">
        <f ca="1">SUMIF('Menu Items'!A:D,'Total Ingredients'!I4,'Menu Items'!D:D)+IFERROR(VLOOKUP(I4,'Menu Items'!$G$4:$J$100,4,FALSE),0)</f>
        <v>190</v>
      </c>
      <c r="N4" s="12">
        <f t="shared" ca="1" si="1"/>
        <v>570</v>
      </c>
      <c r="O4" s="12">
        <f t="shared" ref="O4:O43" si="2">P4/Q4</f>
        <v>3</v>
      </c>
      <c r="P4" s="12">
        <v>15</v>
      </c>
      <c r="Q4">
        <v>5</v>
      </c>
      <c r="R4">
        <v>40</v>
      </c>
      <c r="T4" s="16" t="s">
        <v>59</v>
      </c>
    </row>
    <row r="5" spans="1:20">
      <c r="A5" t="s">
        <v>7</v>
      </c>
      <c r="B5" s="5">
        <v>500</v>
      </c>
      <c r="C5" s="15">
        <f>VLOOKUP(A5,'Menu Items'!A:E,5,FALSE)+$E$16+$E$15+$E$14</f>
        <v>0.87037334752604167</v>
      </c>
      <c r="D5" s="15">
        <f>C5*B5</f>
        <v>435.18667376302085</v>
      </c>
      <c r="E5" s="120">
        <v>7</v>
      </c>
      <c r="F5" s="15">
        <f>E5-C5</f>
        <v>6.1296266524739584</v>
      </c>
      <c r="G5" s="15">
        <f>F5*B5</f>
        <v>3064.8133262369793</v>
      </c>
      <c r="H5" s="32"/>
      <c r="I5" t="s">
        <v>149</v>
      </c>
      <c r="J5" t="s">
        <v>112</v>
      </c>
      <c r="K5" t="s">
        <v>35</v>
      </c>
      <c r="L5" t="str">
        <f t="shared" si="0"/>
        <v>lbs</v>
      </c>
      <c r="M5" s="3">
        <f ca="1">SUMIF('Menu Items'!A:D,'Total Ingredients'!I5,'Menu Items'!D:D)+IFERROR(VLOOKUP(I5,'Menu Items'!$G$4:$J$100,4,FALSE),0)</f>
        <v>10</v>
      </c>
      <c r="N5" s="12">
        <f t="shared" ca="1" si="1"/>
        <v>11.200000000000001</v>
      </c>
      <c r="O5" s="12">
        <f t="shared" si="2"/>
        <v>1.1200000000000001</v>
      </c>
      <c r="P5" s="12">
        <v>2.2400000000000002</v>
      </c>
      <c r="Q5">
        <v>2</v>
      </c>
      <c r="R5">
        <v>14</v>
      </c>
      <c r="S5" t="s">
        <v>61</v>
      </c>
      <c r="T5" s="16" t="s">
        <v>62</v>
      </c>
    </row>
    <row r="6" spans="1:20">
      <c r="A6" t="s">
        <v>423</v>
      </c>
      <c r="B6" s="5">
        <v>500</v>
      </c>
      <c r="C6" s="15">
        <f>VLOOKUP(A6,'Menu Items'!A:E,5,FALSE)+$E$16+$E$15+$E$14</f>
        <v>0.75699062292038688</v>
      </c>
      <c r="D6" s="15">
        <f>C6*B6</f>
        <v>378.49531146019342</v>
      </c>
      <c r="E6" s="120">
        <v>7</v>
      </c>
      <c r="F6" s="15">
        <f>E6-C6</f>
        <v>6.2430093770796127</v>
      </c>
      <c r="G6" s="15">
        <f>F6*B6</f>
        <v>3121.5046885398065</v>
      </c>
      <c r="H6" s="32"/>
      <c r="I6" t="s">
        <v>148</v>
      </c>
      <c r="J6" t="s">
        <v>112</v>
      </c>
      <c r="K6" t="s">
        <v>35</v>
      </c>
      <c r="L6" t="str">
        <f t="shared" si="0"/>
        <v>lbs</v>
      </c>
      <c r="M6" s="3">
        <f ca="1">SUMIF('Menu Items'!A:D,'Total Ingredients'!I6,'Menu Items'!D:D)+IFERROR(VLOOKUP(I6,'Menu Items'!$G$4:$J$100,4,FALSE),0)</f>
        <v>30</v>
      </c>
      <c r="N6" s="12">
        <f t="shared" ca="1" si="1"/>
        <v>33.6</v>
      </c>
      <c r="O6" s="12">
        <f t="shared" si="2"/>
        <v>1.1200000000000001</v>
      </c>
      <c r="P6" s="12">
        <v>2.2400000000000002</v>
      </c>
      <c r="Q6">
        <v>2</v>
      </c>
      <c r="R6">
        <v>14</v>
      </c>
      <c r="T6" s="16"/>
    </row>
    <row r="7" spans="1:20">
      <c r="A7" t="s">
        <v>232</v>
      </c>
      <c r="B7" s="5">
        <v>500</v>
      </c>
      <c r="C7" s="15">
        <f>VLOOKUP(A7,'Menu Items'!A:E,5,FALSE)+$E$16+$E$15+$E$14</f>
        <v>0.71875000000000011</v>
      </c>
      <c r="D7" s="15">
        <f>C7*B7</f>
        <v>359.37500000000006</v>
      </c>
      <c r="E7" s="15">
        <v>5.25</v>
      </c>
      <c r="F7" s="15">
        <f>E7-C7</f>
        <v>4.53125</v>
      </c>
      <c r="G7" s="15">
        <f>F7*B7</f>
        <v>2265.625</v>
      </c>
      <c r="H7" s="32"/>
      <c r="I7" t="s">
        <v>425</v>
      </c>
      <c r="J7" t="s">
        <v>110</v>
      </c>
      <c r="K7" t="s">
        <v>34</v>
      </c>
      <c r="L7" t="str">
        <f t="shared" ref="L7" si="3">K7</f>
        <v>fl oz</v>
      </c>
      <c r="M7" s="3">
        <f ca="1">SUMIF('Menu Items'!A:D,'Total Ingredients'!I7,'Menu Items'!D:D)+IFERROR(VLOOKUP(I7,'Menu Items'!$G$4:$J$100,4,FALSE),0)</f>
        <v>75</v>
      </c>
      <c r="N7" s="12">
        <f t="shared" ca="1" si="1"/>
        <v>9.375</v>
      </c>
      <c r="O7" s="12">
        <f t="shared" si="2"/>
        <v>0.125</v>
      </c>
      <c r="P7" s="12">
        <v>4</v>
      </c>
      <c r="Q7">
        <v>32</v>
      </c>
      <c r="R7">
        <v>14</v>
      </c>
      <c r="T7" s="16"/>
    </row>
    <row r="8" spans="1:20">
      <c r="A8" t="s">
        <v>171</v>
      </c>
      <c r="H8" s="32"/>
      <c r="I8" s="21" t="s">
        <v>422</v>
      </c>
      <c r="J8" s="21" t="s">
        <v>113</v>
      </c>
      <c r="K8" t="s">
        <v>35</v>
      </c>
      <c r="L8" t="str">
        <f t="shared" si="0"/>
        <v>lbs</v>
      </c>
      <c r="M8" s="3">
        <f ca="1">(SUMIF('Menu Items'!A:D,'Total Ingredients'!I8,'Menu Items'!D:D)+IFERROR(VLOOKUP(I8,'Menu Items'!$G$4:$J$100,4,FALSE),0))*2</f>
        <v>200</v>
      </c>
      <c r="N8" s="12">
        <f t="shared" ca="1" si="1"/>
        <v>400</v>
      </c>
      <c r="O8" s="12">
        <f t="shared" si="2"/>
        <v>2</v>
      </c>
      <c r="P8" s="12">
        <v>2</v>
      </c>
      <c r="Q8">
        <v>1</v>
      </c>
      <c r="R8">
        <v>4</v>
      </c>
      <c r="T8" s="16" t="s">
        <v>65</v>
      </c>
    </row>
    <row r="9" spans="1:20">
      <c r="A9" t="s">
        <v>172</v>
      </c>
      <c r="H9" s="32"/>
      <c r="I9" s="21" t="s">
        <v>426</v>
      </c>
      <c r="J9" s="21" t="s">
        <v>113</v>
      </c>
      <c r="K9" t="s">
        <v>35</v>
      </c>
      <c r="L9" t="str">
        <f t="shared" si="0"/>
        <v>lbs</v>
      </c>
      <c r="M9" s="3">
        <f ca="1">SUMIF('Menu Items'!A:D,'Total Ingredients'!I9,'Menu Items'!D:D)+IFERROR(VLOOKUP(I9,'Menu Items'!$G$4:$J$100,4,FALSE),0)</f>
        <v>100</v>
      </c>
      <c r="N9" s="12">
        <f t="shared" ca="1" si="1"/>
        <v>200</v>
      </c>
      <c r="O9" s="12">
        <v>2</v>
      </c>
      <c r="P9" s="12">
        <v>3</v>
      </c>
      <c r="Q9">
        <v>1</v>
      </c>
      <c r="R9">
        <v>5</v>
      </c>
    </row>
    <row r="10" spans="1:20">
      <c r="A10" t="s">
        <v>187</v>
      </c>
      <c r="H10" s="32"/>
      <c r="I10" s="21" t="s">
        <v>151</v>
      </c>
      <c r="J10" s="21" t="s">
        <v>113</v>
      </c>
      <c r="K10" t="s">
        <v>35</v>
      </c>
      <c r="L10" t="str">
        <f t="shared" si="0"/>
        <v>lbs</v>
      </c>
      <c r="M10" s="3">
        <f ca="1">SUMIF('Menu Items'!A:D,'Total Ingredients'!I10,'Menu Items'!D:D)+IFERROR(VLOOKUP(I10,'Menu Items'!$G$4:$J$100,4,FALSE),0)</f>
        <v>0</v>
      </c>
      <c r="N10" s="12">
        <f t="shared" ca="1" si="1"/>
        <v>0</v>
      </c>
      <c r="O10" s="12">
        <f t="shared" si="2"/>
        <v>3</v>
      </c>
      <c r="P10" s="12">
        <v>3</v>
      </c>
      <c r="Q10">
        <v>1</v>
      </c>
      <c r="R10">
        <v>4</v>
      </c>
      <c r="T10" s="16" t="s">
        <v>150</v>
      </c>
    </row>
    <row r="11" spans="1:20">
      <c r="A11" t="s">
        <v>217</v>
      </c>
      <c r="H11" s="32"/>
      <c r="I11" t="s">
        <v>41</v>
      </c>
      <c r="J11" t="s">
        <v>114</v>
      </c>
      <c r="K11" t="s">
        <v>34</v>
      </c>
      <c r="L11" t="str">
        <f t="shared" si="0"/>
        <v>fl oz</v>
      </c>
      <c r="M11" s="3">
        <f ca="1">SUMIF('Menu Items'!A:D,'Total Ingredients'!I11,'Menu Items'!D:D)+IFERROR(VLOOKUP(I11,'Menu Items'!$G$4:$J$100,4,FALSE),0)</f>
        <v>250</v>
      </c>
      <c r="N11" s="12">
        <f t="shared" ca="1" si="1"/>
        <v>31.25</v>
      </c>
      <c r="O11" s="12">
        <f t="shared" si="2"/>
        <v>0.125</v>
      </c>
      <c r="P11" s="12">
        <v>16</v>
      </c>
      <c r="Q11">
        <v>128</v>
      </c>
      <c r="R11">
        <v>365</v>
      </c>
      <c r="T11" s="16" t="s">
        <v>89</v>
      </c>
    </row>
    <row r="12" spans="1:20">
      <c r="H12" s="32"/>
      <c r="I12" t="s">
        <v>40</v>
      </c>
      <c r="J12" t="s">
        <v>114</v>
      </c>
      <c r="K12" t="s">
        <v>34</v>
      </c>
      <c r="L12" t="str">
        <f t="shared" si="0"/>
        <v>fl oz</v>
      </c>
      <c r="M12" s="3">
        <f ca="1">SUMIF('Menu Items'!A:D,'Total Ingredients'!I12,'Menu Items'!D:D)+IFERROR(VLOOKUP(I12,'Menu Items'!$G$4:$J$100,4,FALSE),0)</f>
        <v>500</v>
      </c>
      <c r="N12" s="12">
        <f t="shared" ca="1" si="1"/>
        <v>39.0625</v>
      </c>
      <c r="O12" s="12">
        <f t="shared" si="2"/>
        <v>7.8125E-2</v>
      </c>
      <c r="P12" s="12">
        <v>10</v>
      </c>
      <c r="Q12">
        <v>128</v>
      </c>
      <c r="R12">
        <v>270</v>
      </c>
      <c r="T12" s="16" t="s">
        <v>90</v>
      </c>
    </row>
    <row r="13" spans="1:20" ht="16">
      <c r="A13" s="7" t="s">
        <v>161</v>
      </c>
      <c r="B13" s="7" t="s">
        <v>165</v>
      </c>
      <c r="D13" s="143" t="s">
        <v>264</v>
      </c>
      <c r="E13" s="143"/>
      <c r="H13" s="32"/>
      <c r="I13" t="s">
        <v>8</v>
      </c>
      <c r="J13" t="s">
        <v>110</v>
      </c>
      <c r="K13" t="s">
        <v>35</v>
      </c>
      <c r="L13" t="str">
        <f t="shared" si="0"/>
        <v>lbs</v>
      </c>
      <c r="M13" s="3">
        <f ca="1">SUMIF('Menu Items'!A:D,'Total Ingredients'!I13,'Menu Items'!D:D)+IFERROR(VLOOKUP(I13,'Menu Items'!$G$4:$J$100,4,FALSE),0)</f>
        <v>62.5</v>
      </c>
      <c r="N13" s="12">
        <f t="shared" ca="1" si="1"/>
        <v>125</v>
      </c>
      <c r="O13" s="12">
        <f t="shared" si="2"/>
        <v>2</v>
      </c>
      <c r="P13" s="12">
        <v>60</v>
      </c>
      <c r="Q13">
        <v>30</v>
      </c>
      <c r="R13">
        <v>14</v>
      </c>
      <c r="T13" s="16" t="s">
        <v>67</v>
      </c>
    </row>
    <row r="14" spans="1:20">
      <c r="A14" t="s">
        <v>160</v>
      </c>
      <c r="B14" s="5" t="s">
        <v>166</v>
      </c>
      <c r="D14" t="s">
        <v>260</v>
      </c>
      <c r="E14" s="1">
        <v>0.1</v>
      </c>
      <c r="H14" s="32"/>
      <c r="I14" t="s">
        <v>9</v>
      </c>
      <c r="J14" t="s">
        <v>112</v>
      </c>
      <c r="K14" t="s">
        <v>31</v>
      </c>
      <c r="L14" t="str">
        <f t="shared" si="0"/>
        <v>ea</v>
      </c>
      <c r="M14" s="3">
        <f ca="1">SUMIF('Menu Items'!A:D,'Total Ingredients'!I14,'Menu Items'!D:D)+IFERROR(VLOOKUP(I14,'Menu Items'!$G$4:$J$100,4,FALSE),0)</f>
        <v>10</v>
      </c>
      <c r="N14" s="12">
        <f t="shared" ca="1" si="1"/>
        <v>7.8000000000000007</v>
      </c>
      <c r="O14" s="12">
        <f t="shared" si="2"/>
        <v>0.78</v>
      </c>
      <c r="P14" s="12">
        <v>0.78</v>
      </c>
      <c r="Q14">
        <v>1</v>
      </c>
      <c r="R14">
        <v>7</v>
      </c>
      <c r="T14" s="16" t="s">
        <v>66</v>
      </c>
    </row>
    <row r="15" spans="1:20">
      <c r="A15" t="s">
        <v>162</v>
      </c>
      <c r="B15" s="5" t="s">
        <v>167</v>
      </c>
      <c r="D15" t="s">
        <v>259</v>
      </c>
      <c r="E15" s="15">
        <v>0.04</v>
      </c>
      <c r="F15"/>
      <c r="H15" s="32"/>
      <c r="I15" t="s">
        <v>10</v>
      </c>
      <c r="J15" t="s">
        <v>112</v>
      </c>
      <c r="K15" t="s">
        <v>31</v>
      </c>
      <c r="L15" t="str">
        <f t="shared" si="0"/>
        <v>ea</v>
      </c>
      <c r="M15" s="3">
        <f ca="1">SUMIF('Menu Items'!A:D,'Total Ingredients'!I15,'Menu Items'!D:D)+IFERROR(VLOOKUP(I15,'Menu Items'!$G$4:$J$100,4,FALSE),0)</f>
        <v>25</v>
      </c>
      <c r="N15" s="12">
        <f t="shared" ca="1" si="1"/>
        <v>50</v>
      </c>
      <c r="O15" s="12">
        <f t="shared" si="2"/>
        <v>2</v>
      </c>
      <c r="P15" s="12">
        <v>2</v>
      </c>
      <c r="Q15">
        <v>1</v>
      </c>
      <c r="R15">
        <v>7</v>
      </c>
      <c r="S15" t="s">
        <v>68</v>
      </c>
    </row>
    <row r="16" spans="1:20">
      <c r="A16" t="s">
        <v>163</v>
      </c>
      <c r="B16" s="5" t="s">
        <v>168</v>
      </c>
      <c r="D16" t="s">
        <v>146</v>
      </c>
      <c r="E16" s="15">
        <v>0.03</v>
      </c>
      <c r="H16" s="32"/>
      <c r="I16" t="s">
        <v>15</v>
      </c>
      <c r="J16" t="s">
        <v>115</v>
      </c>
      <c r="K16" t="s">
        <v>34</v>
      </c>
      <c r="L16" t="str">
        <f t="shared" si="0"/>
        <v>fl oz</v>
      </c>
      <c r="M16" s="3">
        <f ca="1">SUMIF('Menu Items'!A:D,'Total Ingredients'!I16,'Menu Items'!D:D)+IFERROR(VLOOKUP(I16,'Menu Items'!$G$4:$J$100,4,FALSE),0)</f>
        <v>0</v>
      </c>
      <c r="N16" s="12">
        <f t="shared" ca="1" si="1"/>
        <v>0</v>
      </c>
      <c r="O16" s="12">
        <f t="shared" si="2"/>
        <v>9.0579710144927536E-2</v>
      </c>
      <c r="P16" s="12">
        <v>50</v>
      </c>
      <c r="Q16">
        <v>552</v>
      </c>
      <c r="R16">
        <v>274</v>
      </c>
      <c r="S16" t="s">
        <v>71</v>
      </c>
      <c r="T16" s="16" t="s">
        <v>70</v>
      </c>
    </row>
    <row r="17" spans="1:20">
      <c r="A17" t="s">
        <v>147</v>
      </c>
      <c r="B17" s="5" t="s">
        <v>169</v>
      </c>
      <c r="H17" s="32"/>
      <c r="I17" t="s">
        <v>16</v>
      </c>
      <c r="J17" t="s">
        <v>116</v>
      </c>
      <c r="K17" t="s">
        <v>34</v>
      </c>
      <c r="L17" t="str">
        <f t="shared" si="0"/>
        <v>fl oz</v>
      </c>
      <c r="M17" s="3">
        <f ca="1">SUMIF('Menu Items'!A:D,'Total Ingredients'!I17,'Menu Items'!D:D)+IFERROR(VLOOKUP(I17,'Menu Items'!$G$4:$J$100,4,FALSE),0)</f>
        <v>100</v>
      </c>
      <c r="N17" s="12">
        <f t="shared" ca="1" si="1"/>
        <v>11.71875</v>
      </c>
      <c r="O17" s="12">
        <f t="shared" si="2"/>
        <v>0.1171875</v>
      </c>
      <c r="P17" s="12">
        <v>15</v>
      </c>
      <c r="Q17">
        <v>128</v>
      </c>
      <c r="R17">
        <v>365</v>
      </c>
      <c r="T17" s="16" t="s">
        <v>73</v>
      </c>
    </row>
    <row r="18" spans="1:20">
      <c r="A18" t="s">
        <v>208</v>
      </c>
      <c r="B18" s="5" t="s">
        <v>170</v>
      </c>
      <c r="D18" s="82" t="s">
        <v>12</v>
      </c>
      <c r="E18" s="82"/>
      <c r="H18" s="32"/>
      <c r="I18" t="s">
        <v>17</v>
      </c>
      <c r="J18" t="s">
        <v>115</v>
      </c>
      <c r="K18" t="s">
        <v>34</v>
      </c>
      <c r="L18" t="str">
        <f t="shared" si="0"/>
        <v>fl oz</v>
      </c>
      <c r="M18" s="3">
        <f ca="1">SUMIF('Menu Items'!A:D,'Total Ingredients'!I18,'Menu Items'!D:D)+IFERROR(VLOOKUP(I18,'Menu Items'!$G$4:$J$100,4,FALSE),0)</f>
        <v>0</v>
      </c>
      <c r="N18" s="12">
        <f t="shared" ca="1" si="1"/>
        <v>0</v>
      </c>
      <c r="O18" s="12">
        <f t="shared" si="2"/>
        <v>9.375E-2</v>
      </c>
      <c r="P18" s="12">
        <v>12</v>
      </c>
      <c r="Q18">
        <v>128</v>
      </c>
      <c r="R18">
        <v>510</v>
      </c>
      <c r="T18" s="16" t="s">
        <v>74</v>
      </c>
    </row>
    <row r="19" spans="1:20">
      <c r="A19" t="s">
        <v>164</v>
      </c>
      <c r="B19" s="5" t="s">
        <v>274</v>
      </c>
      <c r="D19" t="s">
        <v>209</v>
      </c>
      <c r="E19" s="15">
        <v>0.1</v>
      </c>
      <c r="H19" s="32"/>
      <c r="I19" t="s">
        <v>14</v>
      </c>
      <c r="J19" t="s">
        <v>114</v>
      </c>
      <c r="K19" t="s">
        <v>34</v>
      </c>
      <c r="L19" t="str">
        <f t="shared" si="0"/>
        <v>fl oz</v>
      </c>
      <c r="M19" s="3">
        <f ca="1">SUMIF('Menu Items'!A:D,'Total Ingredients'!I19,'Menu Items'!D:D)+IFERROR(VLOOKUP(I19,'Menu Items'!$G$4:$J$100,4,FALSE),0)</f>
        <v>0</v>
      </c>
      <c r="N19" s="12">
        <f t="shared" ca="1" si="1"/>
        <v>0</v>
      </c>
      <c r="O19" s="12">
        <f t="shared" si="2"/>
        <v>9.375E-2</v>
      </c>
      <c r="P19" s="12">
        <v>12</v>
      </c>
      <c r="Q19">
        <v>128</v>
      </c>
      <c r="R19">
        <v>600</v>
      </c>
      <c r="T19" s="16" t="s">
        <v>75</v>
      </c>
    </row>
    <row r="20" spans="1:20">
      <c r="A20" t="s">
        <v>396</v>
      </c>
      <c r="B20" s="5" t="s">
        <v>275</v>
      </c>
      <c r="D20" t="s">
        <v>210</v>
      </c>
      <c r="E20" s="44">
        <v>2.5999999999999999E-2</v>
      </c>
      <c r="H20" s="32"/>
      <c r="I20" t="s">
        <v>18</v>
      </c>
      <c r="J20" t="s">
        <v>111</v>
      </c>
      <c r="K20" t="s">
        <v>34</v>
      </c>
      <c r="L20" t="str">
        <f t="shared" si="0"/>
        <v>fl oz</v>
      </c>
      <c r="M20" s="3">
        <f ca="1">SUMIF('Menu Items'!A:D,'Total Ingredients'!I20,'Menu Items'!D:D)+IFERROR(VLOOKUP(I20,'Menu Items'!$G$4:$J$100,4,FALSE),0)</f>
        <v>12</v>
      </c>
      <c r="N20" s="12">
        <f t="shared" ca="1" si="1"/>
        <v>6</v>
      </c>
      <c r="O20" s="12">
        <f t="shared" si="2"/>
        <v>0.5</v>
      </c>
      <c r="P20" s="12">
        <v>6</v>
      </c>
      <c r="Q20">
        <v>12</v>
      </c>
      <c r="R20">
        <v>900</v>
      </c>
      <c r="T20" s="16" t="s">
        <v>76</v>
      </c>
    </row>
    <row r="21" spans="1:20">
      <c r="A21" t="s">
        <v>395</v>
      </c>
      <c r="D21" t="s">
        <v>211</v>
      </c>
      <c r="E21" s="15">
        <v>0.3</v>
      </c>
      <c r="H21" s="32"/>
      <c r="I21" t="s">
        <v>430</v>
      </c>
      <c r="J21" t="s">
        <v>112</v>
      </c>
      <c r="K21" t="s">
        <v>31</v>
      </c>
      <c r="L21" t="str">
        <f t="shared" si="0"/>
        <v>ea</v>
      </c>
      <c r="M21" s="3">
        <f ca="1">SUMIF('Menu Items'!A:D,'Total Ingredients'!I21,'Menu Items'!D:D)+IFERROR(VLOOKUP(I21,'Menu Items'!$G$4:$J$100,4,FALSE),0)</f>
        <v>12.5</v>
      </c>
      <c r="N21" s="12">
        <f t="shared" ca="1" si="1"/>
        <v>12.5</v>
      </c>
      <c r="O21" s="12">
        <f t="shared" si="2"/>
        <v>1</v>
      </c>
      <c r="P21" s="12">
        <v>1</v>
      </c>
      <c r="Q21">
        <v>1</v>
      </c>
      <c r="R21">
        <v>7</v>
      </c>
    </row>
    <row r="22" spans="1:20">
      <c r="A22" s="1" t="s">
        <v>215</v>
      </c>
      <c r="D22" t="s">
        <v>212</v>
      </c>
      <c r="E22" s="44">
        <v>2.9000000000000001E-2</v>
      </c>
      <c r="H22" s="32"/>
      <c r="I22" t="s">
        <v>20</v>
      </c>
      <c r="J22" t="s">
        <v>114</v>
      </c>
      <c r="K22" t="s">
        <v>34</v>
      </c>
      <c r="L22" t="str">
        <f t="shared" si="0"/>
        <v>fl oz</v>
      </c>
      <c r="M22" s="3">
        <f ca="1">SUMIF('Menu Items'!A:D,'Total Ingredients'!I22,'Menu Items'!D:D)+IFERROR(VLOOKUP(I22,'Menu Items'!$G$4:$J$100,4,FALSE),0)</f>
        <v>50</v>
      </c>
      <c r="N22" s="12">
        <f t="shared" ca="1" si="1"/>
        <v>6</v>
      </c>
      <c r="O22" s="12">
        <f t="shared" si="2"/>
        <v>0.12</v>
      </c>
      <c r="P22" s="12">
        <v>0.72</v>
      </c>
      <c r="Q22">
        <v>6</v>
      </c>
      <c r="R22">
        <v>10</v>
      </c>
      <c r="S22" t="s">
        <v>77</v>
      </c>
    </row>
    <row r="23" spans="1:20">
      <c r="H23" s="32"/>
      <c r="I23" t="s">
        <v>403</v>
      </c>
      <c r="J23" t="s">
        <v>116</v>
      </c>
      <c r="K23" t="s">
        <v>34</v>
      </c>
      <c r="L23" t="str">
        <f t="shared" ref="L23:L27" si="4">K23</f>
        <v>fl oz</v>
      </c>
      <c r="M23" s="3">
        <f ca="1">SUMIF('Menu Items'!A:D,'Total Ingredients'!I23,'Menu Items'!D:D)+IFERROR(VLOOKUP(I23,'Menu Items'!$G$4:$J$100,4,FALSE),0)</f>
        <v>120</v>
      </c>
      <c r="N23" s="12">
        <f t="shared" ca="1" si="1"/>
        <v>5.625</v>
      </c>
      <c r="O23" s="12">
        <f t="shared" si="2"/>
        <v>4.6875E-2</v>
      </c>
      <c r="P23" s="12">
        <v>30</v>
      </c>
      <c r="Q23">
        <v>640</v>
      </c>
    </row>
    <row r="24" spans="1:20">
      <c r="A24" t="s">
        <v>36</v>
      </c>
      <c r="H24" s="32"/>
      <c r="I24" t="s">
        <v>404</v>
      </c>
      <c r="J24" t="s">
        <v>112</v>
      </c>
      <c r="K24" t="s">
        <v>31</v>
      </c>
      <c r="L24" t="str">
        <f t="shared" si="4"/>
        <v>ea</v>
      </c>
      <c r="M24" s="3">
        <f ca="1">SUMIF('Menu Items'!A:D,'Total Ingredients'!I24,'Menu Items'!D:D)+IFERROR(VLOOKUP(I24,'Menu Items'!$G$4:$J$100,4,FALSE),0)</f>
        <v>25</v>
      </c>
      <c r="N24" s="12">
        <f t="shared" ca="1" si="1"/>
        <v>25</v>
      </c>
      <c r="O24" s="12">
        <f t="shared" si="2"/>
        <v>1</v>
      </c>
      <c r="P24" s="12">
        <v>1</v>
      </c>
      <c r="Q24">
        <v>1</v>
      </c>
    </row>
    <row r="25" spans="1:20">
      <c r="A25" t="s">
        <v>37</v>
      </c>
      <c r="H25" s="32"/>
      <c r="I25" t="s">
        <v>405</v>
      </c>
      <c r="J25" t="s">
        <v>112</v>
      </c>
      <c r="K25" t="s">
        <v>107</v>
      </c>
      <c r="L25" t="str">
        <f t="shared" si="4"/>
        <v>oz</v>
      </c>
      <c r="M25" s="3">
        <f ca="1">SUMIF('Menu Items'!A:D,'Total Ingredients'!I25,'Menu Items'!D:D)+IFERROR(VLOOKUP(I25,'Menu Items'!$G$4:$J$100,4,FALSE),0)</f>
        <v>56.000000000000007</v>
      </c>
      <c r="N25" s="12">
        <f t="shared" ca="1" si="1"/>
        <v>21.000000000000004</v>
      </c>
      <c r="O25" s="12">
        <f t="shared" si="2"/>
        <v>0.375</v>
      </c>
      <c r="P25" s="12">
        <v>6</v>
      </c>
      <c r="Q25">
        <v>16</v>
      </c>
      <c r="R25">
        <v>30</v>
      </c>
    </row>
    <row r="26" spans="1:20">
      <c r="A26" t="s">
        <v>173</v>
      </c>
      <c r="H26" s="32"/>
      <c r="I26" t="s">
        <v>420</v>
      </c>
      <c r="J26" t="s">
        <v>114</v>
      </c>
      <c r="K26" t="s">
        <v>107</v>
      </c>
      <c r="L26" t="str">
        <f t="shared" si="4"/>
        <v>oz</v>
      </c>
      <c r="M26" s="3">
        <f ca="1">SUMIF('Menu Items'!A:D,'Total Ingredients'!I26,'Menu Items'!D:D)+IFERROR(VLOOKUP(I26,'Menu Items'!$G$4:$J$100,4,FALSE),0)</f>
        <v>50</v>
      </c>
      <c r="N26" s="12">
        <f t="shared" ca="1" si="1"/>
        <v>5</v>
      </c>
      <c r="O26" s="12">
        <f t="shared" si="2"/>
        <v>0.1</v>
      </c>
      <c r="P26" s="12">
        <v>10</v>
      </c>
      <c r="Q26">
        <v>100</v>
      </c>
    </row>
    <row r="27" spans="1:20">
      <c r="H27" s="32"/>
      <c r="I27" t="s">
        <v>406</v>
      </c>
      <c r="J27" t="s">
        <v>110</v>
      </c>
      <c r="K27" t="s">
        <v>34</v>
      </c>
      <c r="L27" t="str">
        <f t="shared" si="4"/>
        <v>fl oz</v>
      </c>
      <c r="M27" s="3">
        <f ca="1">SUMIF('Menu Items'!A:D,'Total Ingredients'!I27,'Menu Items'!D:D)+IFERROR(VLOOKUP(I27,'Menu Items'!$G$4:$J$100,4,FALSE),0)</f>
        <v>50</v>
      </c>
      <c r="N27" s="12">
        <f t="shared" ca="1" si="1"/>
        <v>5</v>
      </c>
      <c r="O27" s="12">
        <f t="shared" si="2"/>
        <v>9.9999999999999992E-2</v>
      </c>
      <c r="P27" s="12">
        <v>1.2</v>
      </c>
      <c r="Q27">
        <v>12</v>
      </c>
    </row>
    <row r="28" spans="1:20">
      <c r="H28" s="32"/>
      <c r="I28" t="s">
        <v>429</v>
      </c>
      <c r="J28" t="s">
        <v>429</v>
      </c>
      <c r="K28" t="s">
        <v>34</v>
      </c>
      <c r="L28" t="str">
        <f t="shared" ref="L28" si="5">K28</f>
        <v>fl oz</v>
      </c>
      <c r="M28" s="3">
        <f ca="1">SUMIF('Menu Items'!A:D,'Total Ingredients'!I28,'Menu Items'!D:D)+IFERROR(VLOOKUP(I28,'Menu Items'!$G$4:$J$100,4,FALSE),0)</f>
        <v>800</v>
      </c>
      <c r="N28" s="12">
        <f t="shared" ref="N28" ca="1" si="6">M28*O28</f>
        <v>7.9999999999999993E-5</v>
      </c>
      <c r="O28" s="12">
        <f t="shared" ref="O28" si="7">P28/Q28</f>
        <v>9.9999999999999995E-8</v>
      </c>
      <c r="P28" s="12">
        <v>9.9999999999999995E-8</v>
      </c>
      <c r="Q28">
        <v>1</v>
      </c>
      <c r="R28">
        <v>1000</v>
      </c>
    </row>
    <row r="29" spans="1:20">
      <c r="H29" s="32"/>
      <c r="I29" t="s">
        <v>21</v>
      </c>
      <c r="J29" t="s">
        <v>114</v>
      </c>
      <c r="K29" t="s">
        <v>34</v>
      </c>
      <c r="L29" t="str">
        <f t="shared" si="0"/>
        <v>fl oz</v>
      </c>
      <c r="M29" s="3">
        <f ca="1">SUMIF('Menu Items'!A:D,'Total Ingredients'!I29,'Menu Items'!D:D)+IFERROR(VLOOKUP(I29,'Menu Items'!$G$4:$J$100,4,FALSE),0)</f>
        <v>0</v>
      </c>
      <c r="N29" s="12">
        <f t="shared" ca="1" si="1"/>
        <v>0</v>
      </c>
      <c r="O29" s="12">
        <f t="shared" si="2"/>
        <v>6.25E-2</v>
      </c>
      <c r="P29" s="12">
        <v>8</v>
      </c>
      <c r="Q29">
        <v>128</v>
      </c>
      <c r="R29">
        <v>45</v>
      </c>
      <c r="T29" s="16" t="s">
        <v>78</v>
      </c>
    </row>
    <row r="30" spans="1:20">
      <c r="H30" s="32"/>
      <c r="I30" s="35" t="s">
        <v>108</v>
      </c>
      <c r="J30" s="35" t="s">
        <v>111</v>
      </c>
      <c r="K30" s="35" t="s">
        <v>34</v>
      </c>
      <c r="L30" s="35" t="s">
        <v>107</v>
      </c>
      <c r="M30" s="36">
        <f ca="1">SUMIF('Menu Items'!A:D,'Total Ingredients'!I30,'Menu Items'!D:D)+IFERROR(VLOOKUP(I30,'Menu Items'!$G$4:$J$100,4,FALSE),0)</f>
        <v>50</v>
      </c>
      <c r="N30" s="37">
        <f t="shared" ca="1" si="1"/>
        <v>7.4462890625</v>
      </c>
      <c r="O30" s="37">
        <f t="shared" si="2"/>
        <v>0.14892578125</v>
      </c>
      <c r="P30" s="37">
        <f>VLOOKUP($I30,'Spice Conversion'!$A:$D,2,FALSE)</f>
        <v>25</v>
      </c>
      <c r="Q30" s="36">
        <f>VLOOKUP($I30,'Spice Conversion'!$A:$E,5,FALSE)</f>
        <v>167.86885245901638</v>
      </c>
      <c r="R30" s="35">
        <v>365</v>
      </c>
      <c r="T30" s="16" t="s">
        <v>79</v>
      </c>
    </row>
    <row r="31" spans="1:20">
      <c r="H31" s="32"/>
      <c r="I31" s="35" t="s">
        <v>22</v>
      </c>
      <c r="J31" s="35" t="s">
        <v>111</v>
      </c>
      <c r="K31" s="35" t="s">
        <v>34</v>
      </c>
      <c r="L31" s="35" t="s">
        <v>107</v>
      </c>
      <c r="M31" s="36">
        <f ca="1">SUMIF('Menu Items'!A:D,'Total Ingredients'!I31,'Menu Items'!D:D)+IFERROR(VLOOKUP(I31,'Menu Items'!$G$4:$J$100,4,FALSE),0)</f>
        <v>25</v>
      </c>
      <c r="N31" s="37">
        <f t="shared" ca="1" si="1"/>
        <v>4.951171875</v>
      </c>
      <c r="O31" s="37">
        <f t="shared" si="2"/>
        <v>0.19804687499999998</v>
      </c>
      <c r="P31" s="37">
        <f>VLOOKUP($I31,'Spice Conversion'!$A:$D,2,FALSE)</f>
        <v>15</v>
      </c>
      <c r="Q31" s="36">
        <f>VLOOKUP($I31,'Spice Conversion'!$A:$E,5,FALSE)</f>
        <v>75.739644970414204</v>
      </c>
      <c r="R31" s="35">
        <v>900</v>
      </c>
      <c r="T31" s="16" t="s">
        <v>96</v>
      </c>
    </row>
    <row r="32" spans="1:20">
      <c r="H32" s="32"/>
      <c r="I32" s="35" t="s">
        <v>23</v>
      </c>
      <c r="J32" s="35" t="s">
        <v>111</v>
      </c>
      <c r="K32" s="35" t="s">
        <v>34</v>
      </c>
      <c r="L32" s="35" t="s">
        <v>107</v>
      </c>
      <c r="M32" s="36">
        <f ca="1">SUMIF('Menu Items'!A:D,'Total Ingredients'!I32,'Menu Items'!D:D)+IFERROR(VLOOKUP(I32,'Menu Items'!$G$4:$J$100,4,FALSE),0)</f>
        <v>24</v>
      </c>
      <c r="N32" s="37">
        <f t="shared" ca="1" si="1"/>
        <v>3.8475000000000001</v>
      </c>
      <c r="O32" s="37">
        <f t="shared" si="2"/>
        <v>0.1603125</v>
      </c>
      <c r="P32" s="37">
        <f>VLOOKUP($I32,'Spice Conversion'!$A:$D,2,FALSE)</f>
        <v>6</v>
      </c>
      <c r="Q32" s="36">
        <f>VLOOKUP($I32,'Spice Conversion'!$A:$E,5,FALSE)</f>
        <v>37.42690058479532</v>
      </c>
      <c r="R32" s="35">
        <v>900</v>
      </c>
      <c r="T32" s="16" t="s">
        <v>93</v>
      </c>
    </row>
    <row r="33" spans="1:20">
      <c r="H33" s="32"/>
      <c r="I33" s="35" t="s">
        <v>24</v>
      </c>
      <c r="J33" s="35" t="s">
        <v>111</v>
      </c>
      <c r="K33" s="35" t="s">
        <v>34</v>
      </c>
      <c r="L33" s="35" t="s">
        <v>107</v>
      </c>
      <c r="M33" s="36">
        <f ca="1">SUMIF('Menu Items'!A:D,'Total Ingredients'!I33,'Menu Items'!D:D)+IFERROR(VLOOKUP(I33,'Menu Items'!$G$4:$J$100,4,FALSE),0)</f>
        <v>24</v>
      </c>
      <c r="N33" s="37">
        <f t="shared" ca="1" si="1"/>
        <v>3.2737500000000002</v>
      </c>
      <c r="O33" s="37">
        <f t="shared" si="2"/>
        <v>0.13640625000000001</v>
      </c>
      <c r="P33" s="37">
        <f>VLOOKUP($I33,'Spice Conversion'!$A:$D,2,FALSE)</f>
        <v>7</v>
      </c>
      <c r="Q33" s="36">
        <f>VLOOKUP($I33,'Spice Conversion'!$A:$E,5,FALSE)</f>
        <v>51.317296678121416</v>
      </c>
      <c r="R33" s="35">
        <v>900</v>
      </c>
      <c r="T33" s="16" t="s">
        <v>103</v>
      </c>
    </row>
    <row r="34" spans="1:20">
      <c r="H34" s="32"/>
      <c r="I34" s="35" t="s">
        <v>25</v>
      </c>
      <c r="J34" s="35" t="s">
        <v>111</v>
      </c>
      <c r="K34" s="35" t="s">
        <v>34</v>
      </c>
      <c r="L34" s="35" t="s">
        <v>107</v>
      </c>
      <c r="M34" s="36">
        <f ca="1">SUMIF('Menu Items'!A:D,'Total Ingredients'!I34,'Menu Items'!D:D)+IFERROR(VLOOKUP(I34,'Menu Items'!$G$4:$J$100,4,FALSE),0)</f>
        <v>8.3000000000000007</v>
      </c>
      <c r="N34" s="37">
        <f t="shared" ca="1" si="1"/>
        <v>2.3406000000000002</v>
      </c>
      <c r="O34" s="37">
        <f t="shared" si="2"/>
        <v>0.28200000000000003</v>
      </c>
      <c r="P34" s="37">
        <f>VLOOKUP($I34,'Spice Conversion'!$A:$D,2,FALSE)</f>
        <v>3</v>
      </c>
      <c r="Q34" s="36">
        <f>VLOOKUP($I34,'Spice Conversion'!$A:$E,5,FALSE)</f>
        <v>10.638297872340425</v>
      </c>
      <c r="R34" s="35">
        <v>900</v>
      </c>
      <c r="T34" s="16" t="s">
        <v>95</v>
      </c>
    </row>
    <row r="35" spans="1:20">
      <c r="H35" s="32"/>
      <c r="I35" s="35" t="s">
        <v>26</v>
      </c>
      <c r="J35" s="35" t="s">
        <v>111</v>
      </c>
      <c r="K35" s="35" t="s">
        <v>34</v>
      </c>
      <c r="L35" s="35" t="s">
        <v>107</v>
      </c>
      <c r="M35" s="36">
        <f ca="1">SUMIF('Menu Items'!A:D,'Total Ingredients'!I35,'Menu Items'!D:D)+IFERROR(VLOOKUP(I35,'Menu Items'!$G$4:$J$100,4,FALSE),0)</f>
        <v>8.3000000000000007</v>
      </c>
      <c r="N35" s="37">
        <f t="shared" ca="1" si="1"/>
        <v>1.6304312500000002</v>
      </c>
      <c r="O35" s="37">
        <f t="shared" si="2"/>
        <v>0.19643750000000001</v>
      </c>
      <c r="P35" s="37">
        <f>VLOOKUP($I35,'Spice Conversion'!$A:$D,2,FALSE)</f>
        <v>14</v>
      </c>
      <c r="Q35" s="36">
        <f>VLOOKUP($I35,'Spice Conversion'!$A:$E,5,FALSE)</f>
        <v>71.269487750556792</v>
      </c>
      <c r="R35" s="35">
        <v>900</v>
      </c>
      <c r="T35" s="16" t="s">
        <v>98</v>
      </c>
    </row>
    <row r="36" spans="1:20">
      <c r="H36" s="32"/>
      <c r="I36" s="35" t="s">
        <v>27</v>
      </c>
      <c r="J36" s="35" t="s">
        <v>111</v>
      </c>
      <c r="K36" s="35" t="s">
        <v>34</v>
      </c>
      <c r="L36" s="35" t="s">
        <v>107</v>
      </c>
      <c r="M36" s="36">
        <f ca="1">SUMIF('Menu Items'!A:D,'Total Ingredients'!I36,'Menu Items'!D:D)+IFERROR(VLOOKUP(I36,'Menu Items'!$G$4:$J$100,4,FALSE),0)</f>
        <v>8.3000000000000007</v>
      </c>
      <c r="N36" s="37">
        <f t="shared" ca="1" si="1"/>
        <v>1.4589843750000002</v>
      </c>
      <c r="O36" s="37">
        <f t="shared" si="2"/>
        <v>0.17578125</v>
      </c>
      <c r="P36" s="37">
        <f>VLOOKUP($I36,'Spice Conversion'!$A:$D,2,FALSE)</f>
        <v>12</v>
      </c>
      <c r="Q36" s="36">
        <f>VLOOKUP($I36,'Spice Conversion'!$A:$E,5,FALSE)</f>
        <v>68.266666666666666</v>
      </c>
      <c r="R36" s="35">
        <v>900</v>
      </c>
      <c r="T36" s="16" t="s">
        <v>99</v>
      </c>
    </row>
    <row r="37" spans="1:20">
      <c r="H37" s="32"/>
      <c r="I37" s="35" t="s">
        <v>86</v>
      </c>
      <c r="J37" s="35" t="s">
        <v>111</v>
      </c>
      <c r="K37" s="35" t="s">
        <v>34</v>
      </c>
      <c r="L37" s="35" t="s">
        <v>107</v>
      </c>
      <c r="M37" s="36">
        <f ca="1">SUMIF('Menu Items'!A:D,'Total Ingredients'!I37,'Menu Items'!D:D)+IFERROR(VLOOKUP(I37,'Menu Items'!$G$4:$J$100,4,FALSE),0)</f>
        <v>4.1500000000000004</v>
      </c>
      <c r="N37" s="37">
        <f t="shared" ca="1" si="1"/>
        <v>0.79679999999999995</v>
      </c>
      <c r="O37" s="37">
        <f t="shared" si="2"/>
        <v>0.19199999999999998</v>
      </c>
      <c r="P37" s="37">
        <f>VLOOKUP($I37,'Spice Conversion'!$A:$D,2,FALSE)</f>
        <v>16</v>
      </c>
      <c r="Q37" s="36">
        <f>VLOOKUP($I37,'Spice Conversion'!$A:$E,5,FALSE)</f>
        <v>83.333333333333343</v>
      </c>
      <c r="R37" s="35">
        <v>900</v>
      </c>
      <c r="T37" s="16" t="s">
        <v>97</v>
      </c>
    </row>
    <row r="38" spans="1:20">
      <c r="H38" s="32"/>
      <c r="I38" s="35" t="s">
        <v>28</v>
      </c>
      <c r="J38" s="35" t="s">
        <v>111</v>
      </c>
      <c r="K38" s="35" t="s">
        <v>34</v>
      </c>
      <c r="L38" s="35" t="s">
        <v>107</v>
      </c>
      <c r="M38" s="36">
        <f ca="1">SUMIF('Menu Items'!A:D,'Total Ingredients'!I38,'Menu Items'!D:D)+IFERROR(VLOOKUP(I38,'Menu Items'!$G$4:$J$100,4,FALSE),0)</f>
        <v>4.1500000000000004</v>
      </c>
      <c r="N38" s="37">
        <f t="shared" ca="1" si="1"/>
        <v>0.93375000000000008</v>
      </c>
      <c r="O38" s="37">
        <f t="shared" si="2"/>
        <v>0.22500000000000001</v>
      </c>
      <c r="P38" s="37">
        <f>VLOOKUP($I38,'Spice Conversion'!$A:$D,2,FALSE)</f>
        <v>18</v>
      </c>
      <c r="Q38" s="36">
        <f>VLOOKUP($I38,'Spice Conversion'!$A:$E,5,FALSE)</f>
        <v>80</v>
      </c>
      <c r="R38" s="35">
        <v>900</v>
      </c>
      <c r="T38" s="16" t="s">
        <v>100</v>
      </c>
    </row>
    <row r="39" spans="1:20">
      <c r="H39" s="32"/>
      <c r="I39" s="35" t="s">
        <v>50</v>
      </c>
      <c r="J39" s="35" t="s">
        <v>111</v>
      </c>
      <c r="K39" s="35" t="s">
        <v>34</v>
      </c>
      <c r="L39" s="35" t="s">
        <v>107</v>
      </c>
      <c r="M39" s="36">
        <f ca="1">SUMIF('Menu Items'!A:D,'Total Ingredients'!I39,'Menu Items'!D:D)+IFERROR(VLOOKUP(I39,'Menu Items'!$G$4:$J$100,4,FALSE),0)</f>
        <v>8.3000000000000007</v>
      </c>
      <c r="N39" s="37">
        <f t="shared" ca="1" si="1"/>
        <v>9.4066666666666681</v>
      </c>
      <c r="O39" s="37">
        <f t="shared" si="2"/>
        <v>1.1333333333333333</v>
      </c>
      <c r="P39" s="37">
        <f>VLOOKUP($I39,'Spice Conversion'!$A:$D,2,FALSE)</f>
        <v>12</v>
      </c>
      <c r="Q39" s="36">
        <f>VLOOKUP($I39,'Spice Conversion'!$A:$E,5,FALSE)</f>
        <v>10.588235294117647</v>
      </c>
      <c r="R39" s="35">
        <v>900</v>
      </c>
      <c r="T39" s="16" t="s">
        <v>101</v>
      </c>
    </row>
    <row r="40" spans="1:20">
      <c r="H40" s="32"/>
      <c r="I40" s="35" t="s">
        <v>46</v>
      </c>
      <c r="J40" s="35" t="s">
        <v>111</v>
      </c>
      <c r="K40" s="35" t="s">
        <v>34</v>
      </c>
      <c r="L40" s="35" t="s">
        <v>107</v>
      </c>
      <c r="M40" s="36">
        <f ca="1">SUMIF('Menu Items'!A:D,'Total Ingredients'!I40,'Menu Items'!D:D)+IFERROR(VLOOKUP(I40,'Menu Items'!$G$4:$J$100,4,FALSE),0)</f>
        <v>100</v>
      </c>
      <c r="N40" s="37">
        <f t="shared" ca="1" si="1"/>
        <v>39.84375</v>
      </c>
      <c r="O40" s="37">
        <f t="shared" si="2"/>
        <v>0.3984375</v>
      </c>
      <c r="P40" s="37">
        <f>VLOOKUP($I40,'Spice Conversion'!$A:$D,2,FALSE)</f>
        <v>30</v>
      </c>
      <c r="Q40" s="36">
        <f>VLOOKUP($I40,'Spice Conversion'!$A:$E,5,FALSE)</f>
        <v>75.294117647058826</v>
      </c>
      <c r="R40" s="35">
        <v>900</v>
      </c>
      <c r="T40" s="16" t="s">
        <v>91</v>
      </c>
    </row>
    <row r="41" spans="1:20">
      <c r="H41" s="32"/>
      <c r="I41" s="35" t="s">
        <v>47</v>
      </c>
      <c r="J41" s="35" t="s">
        <v>111</v>
      </c>
      <c r="K41" s="35" t="s">
        <v>34</v>
      </c>
      <c r="L41" s="35" t="s">
        <v>107</v>
      </c>
      <c r="M41" s="36">
        <f ca="1">SUMIF('Menu Items'!A:D,'Total Ingredients'!I41,'Menu Items'!D:D)+IFERROR(VLOOKUP(I41,'Menu Items'!$G$4:$J$100,4,FALSE),0)</f>
        <v>25</v>
      </c>
      <c r="N41" s="37">
        <f t="shared" ca="1" si="1"/>
        <v>2.5156249999999996</v>
      </c>
      <c r="O41" s="37">
        <f t="shared" si="2"/>
        <v>0.10062499999999998</v>
      </c>
      <c r="P41" s="37">
        <f>VLOOKUP($I41,'Spice Conversion'!$A:$D,2,FALSE)</f>
        <v>7</v>
      </c>
      <c r="Q41" s="36">
        <f>VLOOKUP($I41,'Spice Conversion'!$A:$E,5,FALSE)</f>
        <v>69.565217391304358</v>
      </c>
      <c r="R41" s="35">
        <v>900</v>
      </c>
      <c r="T41" s="16" t="s">
        <v>92</v>
      </c>
    </row>
    <row r="42" spans="1:20">
      <c r="A42">
        <v>1</v>
      </c>
      <c r="H42" s="32"/>
      <c r="I42" s="35" t="s">
        <v>49</v>
      </c>
      <c r="J42" s="35" t="s">
        <v>111</v>
      </c>
      <c r="K42" s="35" t="s">
        <v>34</v>
      </c>
      <c r="L42" s="35" t="s">
        <v>107</v>
      </c>
      <c r="M42" s="36">
        <f ca="1">SUMIF('Menu Items'!A:D,'Total Ingredients'!I42,'Menu Items'!D:D)+IFERROR(VLOOKUP(I42,'Menu Items'!$G$4:$J$100,4,FALSE),0)</f>
        <v>8.3000000000000007</v>
      </c>
      <c r="N42" s="37">
        <f t="shared" ca="1" si="1"/>
        <v>0.72073828125000006</v>
      </c>
      <c r="O42" s="37">
        <f t="shared" si="2"/>
        <v>8.6835937500000002E-2</v>
      </c>
      <c r="P42" s="37">
        <f>VLOOKUP($I42,'Spice Conversion'!$A:$D,2,FALSE)</f>
        <v>13</v>
      </c>
      <c r="Q42" s="36">
        <f>VLOOKUP($I42,'Spice Conversion'!$A:$E,5,FALSE)</f>
        <v>149.70760233918128</v>
      </c>
      <c r="R42" s="35">
        <v>900</v>
      </c>
      <c r="T42" s="16" t="s">
        <v>102</v>
      </c>
    </row>
    <row r="43" spans="1:20">
      <c r="H43" s="32"/>
      <c r="I43" s="35" t="s">
        <v>48</v>
      </c>
      <c r="J43" s="35" t="s">
        <v>111</v>
      </c>
      <c r="K43" s="35" t="s">
        <v>34</v>
      </c>
      <c r="L43" s="35" t="s">
        <v>107</v>
      </c>
      <c r="M43" s="36">
        <f ca="1">SUMIF('Menu Items'!A:D,'Total Ingredients'!I43,'Menu Items'!D:D)+IFERROR(VLOOKUP(I43,'Menu Items'!$G$4:$J$100,4,FALSE),0)</f>
        <v>4.1500000000000004</v>
      </c>
      <c r="N43" s="37">
        <f t="shared" ca="1" si="1"/>
        <v>0.60628906250000003</v>
      </c>
      <c r="O43" s="37">
        <f t="shared" si="2"/>
        <v>0.14609374999999999</v>
      </c>
      <c r="P43" s="37">
        <f>VLOOKUP($I43,'Spice Conversion'!$A:$D,2,FALSE)</f>
        <v>11</v>
      </c>
      <c r="Q43" s="36">
        <f>VLOOKUP($I43,'Spice Conversion'!$A:$E,5,FALSE)</f>
        <v>75.294117647058826</v>
      </c>
      <c r="R43" s="35">
        <v>900</v>
      </c>
      <c r="T43" s="16" t="s">
        <v>94</v>
      </c>
    </row>
    <row r="44" spans="1:20">
      <c r="H44" s="32"/>
      <c r="I44" s="35" t="s">
        <v>153</v>
      </c>
      <c r="J44" s="35" t="s">
        <v>111</v>
      </c>
      <c r="K44" s="35" t="s">
        <v>34</v>
      </c>
      <c r="L44" s="35" t="s">
        <v>107</v>
      </c>
      <c r="M44" s="36">
        <f ca="1">SUMIF('Menu Items'!A:D,'Total Ingredients'!I44,'Menu Items'!D:D)+IFERROR(VLOOKUP(I44,'Menu Items'!$G$4:$J$100,4,FALSE),0)</f>
        <v>0</v>
      </c>
      <c r="N44" s="37">
        <f t="shared" ref="N44:N49" ca="1" si="8">M44*O44</f>
        <v>0</v>
      </c>
      <c r="O44" s="37">
        <f t="shared" ref="O44:O49" si="9">P44/Q44</f>
        <v>0.16697916666666668</v>
      </c>
      <c r="P44" s="37">
        <f>VLOOKUP($I44,'Spice Conversion'!$A:$D,2,FALSE)</f>
        <v>7</v>
      </c>
      <c r="Q44" s="36">
        <f>VLOOKUP($I44,'Spice Conversion'!$A:$E,5,FALSE)</f>
        <v>41.921397379912662</v>
      </c>
      <c r="R44" s="35">
        <v>900</v>
      </c>
      <c r="T44" t="s">
        <v>159</v>
      </c>
    </row>
    <row r="45" spans="1:20">
      <c r="H45" s="32"/>
      <c r="I45" s="35" t="s">
        <v>154</v>
      </c>
      <c r="J45" s="35" t="s">
        <v>111</v>
      </c>
      <c r="K45" s="35" t="s">
        <v>34</v>
      </c>
      <c r="L45" s="35" t="s">
        <v>107</v>
      </c>
      <c r="M45" s="36">
        <f ca="1">SUMIF('Menu Items'!A:D,'Total Ingredients'!I45,'Menu Items'!D:D)+IFERROR(VLOOKUP(I45,'Menu Items'!$G$4:$J$100,4,FALSE),0)</f>
        <v>0</v>
      </c>
      <c r="N45" s="37">
        <f t="shared" ca="1" si="8"/>
        <v>0</v>
      </c>
      <c r="O45" s="37">
        <f t="shared" si="9"/>
        <v>0.23585000000000003</v>
      </c>
      <c r="P45" s="37">
        <f>VLOOKUP($I45,'Spice Conversion'!$A:$D,2,FALSE)</f>
        <v>1.59</v>
      </c>
      <c r="Q45" s="36">
        <f>VLOOKUP($I45,'Spice Conversion'!$A:$E,5,FALSE)</f>
        <v>6.7415730337078648</v>
      </c>
      <c r="R45" s="35">
        <v>900</v>
      </c>
      <c r="T45" t="s">
        <v>159</v>
      </c>
    </row>
    <row r="46" spans="1:20">
      <c r="H46" s="32"/>
      <c r="I46" s="35" t="s">
        <v>155</v>
      </c>
      <c r="J46" s="35" t="s">
        <v>111</v>
      </c>
      <c r="K46" s="35" t="s">
        <v>34</v>
      </c>
      <c r="L46" s="35" t="s">
        <v>107</v>
      </c>
      <c r="M46" s="36">
        <f ca="1">SUMIF('Menu Items'!A:D,'Total Ingredients'!I46,'Menu Items'!D:D)+IFERROR(VLOOKUP(I46,'Menu Items'!$G$4:$J$100,4,FALSE),0)</f>
        <v>0</v>
      </c>
      <c r="N46" s="37">
        <f t="shared" ca="1" si="8"/>
        <v>0</v>
      </c>
      <c r="O46" s="37">
        <f t="shared" si="9"/>
        <v>9.9083333333333315E-2</v>
      </c>
      <c r="P46" s="37">
        <f>VLOOKUP($I46,'Spice Conversion'!$A:$D,2,FALSE)</f>
        <v>1.64</v>
      </c>
      <c r="Q46" s="36">
        <f>VLOOKUP($I46,'Spice Conversion'!$A:$E,5,FALSE)</f>
        <v>16.551724137931036</v>
      </c>
      <c r="R46" s="35">
        <v>900</v>
      </c>
      <c r="T46" t="s">
        <v>159</v>
      </c>
    </row>
    <row r="47" spans="1:20">
      <c r="H47" s="32"/>
      <c r="I47" s="35" t="s">
        <v>156</v>
      </c>
      <c r="J47" s="35" t="s">
        <v>111</v>
      </c>
      <c r="K47" s="35" t="s">
        <v>34</v>
      </c>
      <c r="L47" s="35" t="s">
        <v>107</v>
      </c>
      <c r="M47" s="36">
        <f ca="1">SUMIF('Menu Items'!A:D,'Total Ingredients'!I47,'Menu Items'!D:D)+IFERROR(VLOOKUP(I47,'Menu Items'!$G$4:$J$100,4,FALSE),0)</f>
        <v>0</v>
      </c>
      <c r="N47" s="37">
        <f t="shared" ca="1" si="8"/>
        <v>0</v>
      </c>
      <c r="O47" s="37">
        <f t="shared" si="9"/>
        <v>0.26261249999999997</v>
      </c>
      <c r="P47" s="37">
        <f>VLOOKUP($I47,'Spice Conversion'!$A:$D,2,FALSE)</f>
        <v>1.49</v>
      </c>
      <c r="Q47" s="36">
        <f>VLOOKUP($I47,'Spice Conversion'!$A:$E,5,FALSE)</f>
        <v>5.6737588652482271</v>
      </c>
      <c r="R47" s="35">
        <v>900</v>
      </c>
      <c r="T47" t="s">
        <v>159</v>
      </c>
    </row>
    <row r="48" spans="1:20">
      <c r="H48" s="32"/>
      <c r="I48" s="35" t="s">
        <v>157</v>
      </c>
      <c r="J48" s="35" t="s">
        <v>111</v>
      </c>
      <c r="K48" s="35" t="s">
        <v>34</v>
      </c>
      <c r="L48" s="35" t="s">
        <v>107</v>
      </c>
      <c r="M48" s="36">
        <f ca="1">SUMIF('Menu Items'!A:D,'Total Ingredients'!I48,'Menu Items'!D:D)+IFERROR(VLOOKUP(I48,'Menu Items'!$G$4:$J$100,4,FALSE),0)</f>
        <v>0</v>
      </c>
      <c r="N48" s="37">
        <f t="shared" ca="1" si="8"/>
        <v>0</v>
      </c>
      <c r="O48" s="37">
        <f t="shared" si="9"/>
        <v>0.46077187500000005</v>
      </c>
      <c r="P48" s="37">
        <f>VLOOKUP($I48,'Spice Conversion'!$A:$D,2,FALSE)</f>
        <v>3.81</v>
      </c>
      <c r="Q48" s="36">
        <f>VLOOKUP($I48,'Spice Conversion'!$A:$E,5,FALSE)</f>
        <v>8.2687338501291983</v>
      </c>
      <c r="R48" s="35">
        <v>900</v>
      </c>
      <c r="T48" t="s">
        <v>159</v>
      </c>
    </row>
    <row r="49" spans="8:20">
      <c r="H49" s="32"/>
      <c r="I49" s="35" t="s">
        <v>158</v>
      </c>
      <c r="J49" s="35" t="s">
        <v>111</v>
      </c>
      <c r="K49" s="35" t="s">
        <v>34</v>
      </c>
      <c r="L49" s="35" t="s">
        <v>107</v>
      </c>
      <c r="M49" s="36">
        <f ca="1">SUMIF('Menu Items'!A:D,'Total Ingredients'!I49,'Menu Items'!D:D)+IFERROR(VLOOKUP(I49,'Menu Items'!$G$4:$J$100,4,FALSE),0)</f>
        <v>0</v>
      </c>
      <c r="N49" s="37">
        <f t="shared" ca="1" si="8"/>
        <v>0</v>
      </c>
      <c r="O49" s="37">
        <f t="shared" si="9"/>
        <v>0.19848214285714286</v>
      </c>
      <c r="P49" s="37">
        <f>VLOOKUP($I49,'Spice Conversion'!$A:$D,2,FALSE)</f>
        <v>13</v>
      </c>
      <c r="Q49" s="36">
        <f>VLOOKUP($I49,'Spice Conversion'!$A:$E,5,FALSE)</f>
        <v>65.497076023391813</v>
      </c>
      <c r="R49" s="35">
        <v>900</v>
      </c>
      <c r="T49" t="s">
        <v>159</v>
      </c>
    </row>
    <row r="50" spans="8:20">
      <c r="H50" s="32"/>
      <c r="I50" s="10" t="s">
        <v>122</v>
      </c>
      <c r="J50" s="10"/>
      <c r="K50" s="10"/>
      <c r="L50" s="10"/>
      <c r="M50" s="19"/>
      <c r="N50" s="20">
        <f ca="1">SUM(N3:N49)</f>
        <v>1967.4036755729171</v>
      </c>
      <c r="O50" s="20">
        <f>AVERAGE(O3:O49)</f>
        <v>0.55695280861883834</v>
      </c>
      <c r="P50" s="20">
        <f>SUM(P3:P49)</f>
        <v>508.7100001</v>
      </c>
      <c r="Q50" s="10"/>
      <c r="R50" s="10"/>
    </row>
    <row r="51" spans="8:20">
      <c r="H51" s="32"/>
    </row>
    <row r="52" spans="8:20">
      <c r="H52" s="32"/>
    </row>
    <row r="53" spans="8:20">
      <c r="H53" s="32"/>
    </row>
    <row r="54" spans="8:20">
      <c r="H54" s="32"/>
    </row>
    <row r="55" spans="8:20">
      <c r="H55" s="32"/>
    </row>
    <row r="56" spans="8:20">
      <c r="H56" s="32"/>
    </row>
    <row r="57" spans="8:20">
      <c r="H57" s="32"/>
    </row>
    <row r="58" spans="8:20">
      <c r="H58" s="32"/>
    </row>
    <row r="59" spans="8:20">
      <c r="H59" s="32"/>
    </row>
    <row r="60" spans="8:20">
      <c r="H60" s="32"/>
    </row>
    <row r="61" spans="8:20">
      <c r="H61" s="32"/>
    </row>
    <row r="62" spans="8:20">
      <c r="H62" s="32"/>
    </row>
    <row r="63" spans="8:20">
      <c r="H63" s="32"/>
    </row>
    <row r="64" spans="8:20">
      <c r="H64" s="32"/>
    </row>
    <row r="65" spans="8:8">
      <c r="H65" s="32"/>
    </row>
    <row r="66" spans="8:8">
      <c r="H66" s="32"/>
    </row>
    <row r="67" spans="8:8">
      <c r="H67" s="32"/>
    </row>
    <row r="68" spans="8:8">
      <c r="H68" s="32"/>
    </row>
    <row r="69" spans="8:8">
      <c r="H69" s="32"/>
    </row>
    <row r="70" spans="8:8">
      <c r="H70" s="32"/>
    </row>
    <row r="71" spans="8:8">
      <c r="H71" s="32"/>
    </row>
    <row r="72" spans="8:8">
      <c r="H72" s="32"/>
    </row>
    <row r="73" spans="8:8">
      <c r="H73" s="32"/>
    </row>
    <row r="74" spans="8:8">
      <c r="H74" s="32"/>
    </row>
    <row r="75" spans="8:8">
      <c r="H75" s="32"/>
    </row>
    <row r="76" spans="8:8">
      <c r="H76" s="32"/>
    </row>
    <row r="77" spans="8:8">
      <c r="H77" s="32"/>
    </row>
    <row r="78" spans="8:8">
      <c r="H78" s="32"/>
    </row>
    <row r="79" spans="8:8">
      <c r="H79" s="32"/>
    </row>
    <row r="80" spans="8:8">
      <c r="H80" s="32"/>
    </row>
    <row r="81" spans="8:8">
      <c r="H81" s="32"/>
    </row>
    <row r="82" spans="8:8">
      <c r="H82" s="32"/>
    </row>
    <row r="83" spans="8:8">
      <c r="H83" s="32"/>
    </row>
    <row r="84" spans="8:8">
      <c r="H84" s="32"/>
    </row>
    <row r="85" spans="8:8">
      <c r="H85" s="32"/>
    </row>
    <row r="86" spans="8:8">
      <c r="H86" s="32"/>
    </row>
    <row r="87" spans="8:8">
      <c r="H87" s="32"/>
    </row>
    <row r="88" spans="8:8">
      <c r="H88" s="32"/>
    </row>
    <row r="89" spans="8:8">
      <c r="H89" s="32"/>
    </row>
    <row r="90" spans="8:8">
      <c r="H90" s="32"/>
    </row>
    <row r="91" spans="8:8">
      <c r="H91" s="32"/>
    </row>
    <row r="92" spans="8:8">
      <c r="H92" s="32"/>
    </row>
    <row r="93" spans="8:8">
      <c r="H93" s="32"/>
    </row>
    <row r="94" spans="8:8">
      <c r="H94" s="32"/>
    </row>
    <row r="95" spans="8:8">
      <c r="H95" s="32"/>
    </row>
    <row r="96" spans="8:8">
      <c r="H96" s="32"/>
    </row>
    <row r="97" spans="8:8">
      <c r="H97" s="32"/>
    </row>
    <row r="98" spans="8:8">
      <c r="H98" s="32"/>
    </row>
    <row r="99" spans="8:8">
      <c r="H99" s="32"/>
    </row>
    <row r="100" spans="8:8">
      <c r="H100" s="32"/>
    </row>
    <row r="101" spans="8:8">
      <c r="H101" s="32"/>
    </row>
    <row r="102" spans="8:8">
      <c r="H102" s="32"/>
    </row>
    <row r="103" spans="8:8">
      <c r="H103" s="32"/>
    </row>
    <row r="104" spans="8:8">
      <c r="H104" s="32"/>
    </row>
    <row r="105" spans="8:8">
      <c r="H105" s="32"/>
    </row>
    <row r="106" spans="8:8">
      <c r="H106" s="32"/>
    </row>
    <row r="107" spans="8:8">
      <c r="H107" s="32"/>
    </row>
    <row r="108" spans="8:8">
      <c r="H108" s="32"/>
    </row>
    <row r="109" spans="8:8">
      <c r="H109" s="32"/>
    </row>
    <row r="110" spans="8:8">
      <c r="H110" s="32"/>
    </row>
    <row r="111" spans="8:8">
      <c r="H111" s="32"/>
    </row>
    <row r="112" spans="8:8">
      <c r="H112" s="32"/>
    </row>
    <row r="113" spans="8:8">
      <c r="H113" s="32"/>
    </row>
    <row r="114" spans="8:8">
      <c r="H114" s="32"/>
    </row>
    <row r="115" spans="8:8">
      <c r="H115" s="32"/>
    </row>
    <row r="116" spans="8:8">
      <c r="H116" s="32"/>
    </row>
    <row r="117" spans="8:8">
      <c r="H117" s="32"/>
    </row>
    <row r="118" spans="8:8">
      <c r="H118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23" spans="8:8">
      <c r="H123" s="32"/>
    </row>
    <row r="124" spans="8:8">
      <c r="H124" s="32"/>
    </row>
    <row r="125" spans="8:8">
      <c r="H125" s="32"/>
    </row>
    <row r="126" spans="8:8">
      <c r="H126" s="32"/>
    </row>
    <row r="127" spans="8:8">
      <c r="H127" s="32"/>
    </row>
    <row r="128" spans="8:8">
      <c r="H128" s="32"/>
    </row>
    <row r="129" spans="8:8">
      <c r="H129" s="32"/>
    </row>
    <row r="130" spans="8:8">
      <c r="H130" s="32"/>
    </row>
    <row r="131" spans="8:8">
      <c r="H131" s="32"/>
    </row>
    <row r="132" spans="8:8">
      <c r="H132" s="32"/>
    </row>
    <row r="133" spans="8:8">
      <c r="H133" s="32"/>
    </row>
    <row r="134" spans="8:8">
      <c r="H134" s="32"/>
    </row>
    <row r="135" spans="8:8">
      <c r="H135" s="32"/>
    </row>
    <row r="136" spans="8:8">
      <c r="H136" s="32"/>
    </row>
    <row r="137" spans="8:8">
      <c r="H137" s="32"/>
    </row>
    <row r="138" spans="8:8">
      <c r="H138" s="32"/>
    </row>
    <row r="139" spans="8:8">
      <c r="H139" s="32"/>
    </row>
    <row r="140" spans="8:8">
      <c r="H140" s="32"/>
    </row>
    <row r="141" spans="8:8">
      <c r="H141" s="32"/>
    </row>
    <row r="142" spans="8:8">
      <c r="H142" s="32"/>
    </row>
    <row r="143" spans="8:8">
      <c r="H143" s="32"/>
    </row>
    <row r="144" spans="8:8">
      <c r="H144" s="32"/>
    </row>
    <row r="145" spans="8:8">
      <c r="H145" s="32"/>
    </row>
    <row r="146" spans="8:8">
      <c r="H146" s="32"/>
    </row>
    <row r="147" spans="8:8">
      <c r="H147" s="32"/>
    </row>
    <row r="148" spans="8:8">
      <c r="H148" s="32"/>
    </row>
    <row r="149" spans="8:8">
      <c r="H149" s="32"/>
    </row>
    <row r="150" spans="8:8">
      <c r="H150" s="32"/>
    </row>
    <row r="151" spans="8:8">
      <c r="H151" s="32"/>
    </row>
    <row r="152" spans="8:8">
      <c r="H152" s="4"/>
    </row>
    <row r="153" spans="8:8">
      <c r="H153" s="4"/>
    </row>
    <row r="154" spans="8:8">
      <c r="H154" s="4"/>
    </row>
    <row r="155" spans="8:8">
      <c r="H155" s="4"/>
    </row>
    <row r="156" spans="8:8">
      <c r="H156" s="4"/>
    </row>
    <row r="157" spans="8:8">
      <c r="H157" s="4"/>
    </row>
    <row r="158" spans="8:8">
      <c r="H158" s="4"/>
    </row>
    <row r="159" spans="8:8">
      <c r="H159" s="4"/>
    </row>
    <row r="160" spans="8:8">
      <c r="H160" s="4"/>
    </row>
    <row r="161" spans="8:8">
      <c r="H161" s="4"/>
    </row>
    <row r="162" spans="8:8">
      <c r="H162" s="4"/>
    </row>
    <row r="163" spans="8:8">
      <c r="H163" s="4"/>
    </row>
    <row r="164" spans="8:8">
      <c r="H164" s="4"/>
    </row>
    <row r="165" spans="8:8">
      <c r="H165" s="4"/>
    </row>
    <row r="166" spans="8:8">
      <c r="H166" s="4"/>
    </row>
    <row r="167" spans="8:8">
      <c r="H167" s="4"/>
    </row>
    <row r="168" spans="8:8">
      <c r="H168" s="4"/>
    </row>
    <row r="169" spans="8:8">
      <c r="H169" s="4"/>
    </row>
    <row r="170" spans="8:8">
      <c r="H170" s="4"/>
    </row>
    <row r="171" spans="8:8">
      <c r="H171" s="4"/>
    </row>
    <row r="172" spans="8:8">
      <c r="H172" s="4"/>
    </row>
    <row r="173" spans="8:8">
      <c r="H173" s="4"/>
    </row>
    <row r="174" spans="8:8">
      <c r="H174" s="4"/>
    </row>
    <row r="175" spans="8:8">
      <c r="H175" s="4"/>
    </row>
    <row r="176" spans="8:8">
      <c r="H176" s="4"/>
    </row>
    <row r="177" spans="8:8">
      <c r="H177" s="4"/>
    </row>
    <row r="178" spans="8:8">
      <c r="H178" s="4"/>
    </row>
    <row r="179" spans="8:8">
      <c r="H179" s="4"/>
    </row>
    <row r="180" spans="8:8">
      <c r="H180" s="4"/>
    </row>
    <row r="181" spans="8:8">
      <c r="H181" s="4"/>
    </row>
    <row r="182" spans="8:8">
      <c r="H182" s="4"/>
    </row>
    <row r="183" spans="8:8">
      <c r="H183" s="4"/>
    </row>
    <row r="184" spans="8:8">
      <c r="H184" s="4"/>
    </row>
    <row r="185" spans="8:8">
      <c r="H185" s="4"/>
    </row>
    <row r="186" spans="8:8">
      <c r="H186" s="4"/>
    </row>
    <row r="187" spans="8:8">
      <c r="H187" s="4"/>
    </row>
    <row r="188" spans="8:8">
      <c r="H188" s="4"/>
    </row>
    <row r="189" spans="8:8">
      <c r="H189" s="4"/>
    </row>
    <row r="190" spans="8:8">
      <c r="H190" s="4"/>
    </row>
    <row r="191" spans="8:8">
      <c r="H191" s="4"/>
    </row>
    <row r="192" spans="8:8">
      <c r="H192" s="4"/>
    </row>
    <row r="193" spans="8:8">
      <c r="H193" s="4"/>
    </row>
    <row r="194" spans="8:8">
      <c r="H194" s="4"/>
    </row>
    <row r="195" spans="8:8">
      <c r="H195" s="4"/>
    </row>
    <row r="196" spans="8:8">
      <c r="H196" s="4"/>
    </row>
    <row r="197" spans="8:8">
      <c r="H197" s="4"/>
    </row>
    <row r="198" spans="8:8">
      <c r="H198" s="4"/>
    </row>
    <row r="199" spans="8:8">
      <c r="H199" s="4"/>
    </row>
    <row r="200" spans="8:8">
      <c r="H200" s="4"/>
    </row>
    <row r="201" spans="8:8">
      <c r="H201" s="4"/>
    </row>
    <row r="202" spans="8:8">
      <c r="H202" s="4"/>
    </row>
    <row r="203" spans="8:8">
      <c r="H203" s="4"/>
    </row>
    <row r="204" spans="8:8">
      <c r="H204" s="4"/>
    </row>
    <row r="205" spans="8:8">
      <c r="H205" s="4"/>
    </row>
    <row r="206" spans="8:8">
      <c r="H206" s="4"/>
    </row>
    <row r="207" spans="8:8">
      <c r="H207" s="4"/>
    </row>
    <row r="208" spans="8:8">
      <c r="H208" s="4"/>
    </row>
    <row r="209" spans="8:8">
      <c r="H209" s="4"/>
    </row>
    <row r="210" spans="8:8">
      <c r="H210" s="4"/>
    </row>
    <row r="211" spans="8:8">
      <c r="H211" s="4"/>
    </row>
    <row r="212" spans="8:8">
      <c r="H212" s="4"/>
    </row>
    <row r="213" spans="8:8">
      <c r="H213" s="4"/>
    </row>
    <row r="214" spans="8:8">
      <c r="H214" s="4"/>
    </row>
    <row r="215" spans="8:8">
      <c r="H215" s="4"/>
    </row>
    <row r="216" spans="8:8">
      <c r="H216" s="4"/>
    </row>
    <row r="217" spans="8:8">
      <c r="H217" s="4"/>
    </row>
    <row r="218" spans="8:8">
      <c r="H218" s="4"/>
    </row>
    <row r="219" spans="8:8">
      <c r="H219" s="4"/>
    </row>
    <row r="220" spans="8:8">
      <c r="H220" s="4"/>
    </row>
    <row r="221" spans="8:8">
      <c r="H221" s="4"/>
    </row>
    <row r="222" spans="8:8">
      <c r="H222" s="4"/>
    </row>
    <row r="223" spans="8:8">
      <c r="H223" s="4"/>
    </row>
    <row r="224" spans="8:8">
      <c r="H224" s="4"/>
    </row>
    <row r="225" spans="8:8">
      <c r="H225" s="4"/>
    </row>
    <row r="226" spans="8:8">
      <c r="H226" s="4"/>
    </row>
    <row r="227" spans="8:8">
      <c r="H227" s="4"/>
    </row>
    <row r="228" spans="8:8">
      <c r="H228" s="4"/>
    </row>
    <row r="229" spans="8:8">
      <c r="H229" s="4"/>
    </row>
    <row r="230" spans="8:8">
      <c r="H230" s="4"/>
    </row>
    <row r="231" spans="8:8">
      <c r="H231" s="4"/>
    </row>
    <row r="232" spans="8:8">
      <c r="H232" s="4"/>
    </row>
    <row r="233" spans="8:8">
      <c r="H233" s="4"/>
    </row>
    <row r="234" spans="8:8">
      <c r="H234" s="4"/>
    </row>
    <row r="235" spans="8:8">
      <c r="H235" s="4"/>
    </row>
    <row r="236" spans="8:8">
      <c r="H236" s="4"/>
    </row>
    <row r="237" spans="8:8">
      <c r="H237" s="4"/>
    </row>
    <row r="238" spans="8:8">
      <c r="H238" s="4"/>
    </row>
    <row r="239" spans="8:8">
      <c r="H239" s="4"/>
    </row>
    <row r="240" spans="8:8">
      <c r="H240" s="4"/>
    </row>
    <row r="241" spans="8:8">
      <c r="H241" s="4"/>
    </row>
    <row r="242" spans="8:8">
      <c r="H242" s="4"/>
    </row>
    <row r="243" spans="8:8">
      <c r="H243" s="4"/>
    </row>
    <row r="244" spans="8:8">
      <c r="H244" s="4"/>
    </row>
    <row r="245" spans="8:8">
      <c r="H245" s="4"/>
    </row>
    <row r="246" spans="8:8">
      <c r="H246" s="4"/>
    </row>
    <row r="247" spans="8:8">
      <c r="H247" s="4"/>
    </row>
    <row r="248" spans="8:8">
      <c r="H248" s="4"/>
    </row>
    <row r="249" spans="8:8">
      <c r="H249" s="4"/>
    </row>
    <row r="250" spans="8:8">
      <c r="H250" s="4"/>
    </row>
    <row r="251" spans="8:8">
      <c r="H251" s="4"/>
    </row>
    <row r="252" spans="8:8">
      <c r="H252" s="4"/>
    </row>
    <row r="253" spans="8:8">
      <c r="H253" s="4"/>
    </row>
    <row r="254" spans="8:8">
      <c r="H254" s="4"/>
    </row>
    <row r="255" spans="8:8">
      <c r="H255" s="4"/>
    </row>
    <row r="256" spans="8:8">
      <c r="H256" s="4"/>
    </row>
    <row r="257" spans="8:8">
      <c r="H257" s="4"/>
    </row>
    <row r="258" spans="8:8">
      <c r="H258" s="4"/>
    </row>
    <row r="259" spans="8:8">
      <c r="H259" s="4"/>
    </row>
    <row r="260" spans="8:8">
      <c r="H260" s="4"/>
    </row>
    <row r="261" spans="8:8">
      <c r="H261" s="4"/>
    </row>
    <row r="262" spans="8:8">
      <c r="H262" s="4"/>
    </row>
    <row r="263" spans="8:8">
      <c r="H263" s="4"/>
    </row>
    <row r="264" spans="8:8">
      <c r="H264" s="4"/>
    </row>
    <row r="265" spans="8:8">
      <c r="H265" s="4"/>
    </row>
    <row r="266" spans="8:8">
      <c r="H266" s="4"/>
    </row>
    <row r="267" spans="8:8">
      <c r="H267" s="4"/>
    </row>
    <row r="268" spans="8:8">
      <c r="H268" s="4"/>
    </row>
    <row r="269" spans="8:8">
      <c r="H269" s="4"/>
    </row>
    <row r="270" spans="8:8">
      <c r="H270" s="4"/>
    </row>
    <row r="271" spans="8:8">
      <c r="H271" s="4"/>
    </row>
    <row r="272" spans="8:8">
      <c r="H272" s="4"/>
    </row>
    <row r="273" spans="8:8">
      <c r="H273" s="4"/>
    </row>
    <row r="274" spans="8:8">
      <c r="H274" s="4"/>
    </row>
    <row r="275" spans="8:8">
      <c r="H275" s="4"/>
    </row>
    <row r="276" spans="8:8">
      <c r="H276" s="4"/>
    </row>
    <row r="277" spans="8:8">
      <c r="H277" s="4"/>
    </row>
    <row r="278" spans="8:8">
      <c r="H278" s="4"/>
    </row>
    <row r="279" spans="8:8">
      <c r="H279" s="4"/>
    </row>
    <row r="280" spans="8:8">
      <c r="H280" s="4"/>
    </row>
    <row r="281" spans="8:8">
      <c r="H281" s="4"/>
    </row>
    <row r="282" spans="8:8">
      <c r="H282" s="4"/>
    </row>
    <row r="283" spans="8:8">
      <c r="H283" s="4"/>
    </row>
    <row r="284" spans="8:8">
      <c r="H284" s="4"/>
    </row>
    <row r="285" spans="8:8">
      <c r="H285" s="4"/>
    </row>
    <row r="286" spans="8:8">
      <c r="H286" s="4"/>
    </row>
    <row r="287" spans="8:8">
      <c r="H287" s="4"/>
    </row>
    <row r="288" spans="8:8">
      <c r="H288" s="4"/>
    </row>
    <row r="289" spans="8:8">
      <c r="H289" s="4"/>
    </row>
    <row r="290" spans="8:8">
      <c r="H290" s="4"/>
    </row>
    <row r="291" spans="8:8">
      <c r="H291" s="4"/>
    </row>
    <row r="292" spans="8:8">
      <c r="H292" s="4"/>
    </row>
    <row r="293" spans="8:8">
      <c r="H293" s="4"/>
    </row>
    <row r="294" spans="8:8">
      <c r="H294" s="4"/>
    </row>
    <row r="295" spans="8:8">
      <c r="H295" s="4"/>
    </row>
    <row r="296" spans="8:8">
      <c r="H296" s="4"/>
    </row>
    <row r="297" spans="8:8">
      <c r="H297" s="4"/>
    </row>
    <row r="298" spans="8:8">
      <c r="H298" s="4"/>
    </row>
    <row r="299" spans="8:8">
      <c r="H299" s="4"/>
    </row>
    <row r="300" spans="8:8">
      <c r="H300" s="4"/>
    </row>
    <row r="301" spans="8:8">
      <c r="H301" s="4"/>
    </row>
    <row r="302" spans="8:8">
      <c r="H302" s="4"/>
    </row>
    <row r="303" spans="8:8">
      <c r="H303" s="4"/>
    </row>
    <row r="304" spans="8:8">
      <c r="H304" s="4"/>
    </row>
    <row r="305" spans="8:8">
      <c r="H305" s="4"/>
    </row>
    <row r="306" spans="8:8">
      <c r="H306" s="4"/>
    </row>
    <row r="307" spans="8:8">
      <c r="H307" s="4"/>
    </row>
    <row r="308" spans="8:8">
      <c r="H308" s="4"/>
    </row>
    <row r="309" spans="8:8">
      <c r="H309" s="4"/>
    </row>
    <row r="310" spans="8:8">
      <c r="H310" s="4"/>
    </row>
    <row r="311" spans="8:8">
      <c r="H311" s="4"/>
    </row>
    <row r="312" spans="8:8">
      <c r="H312" s="4"/>
    </row>
    <row r="313" spans="8:8">
      <c r="H313" s="4"/>
    </row>
    <row r="314" spans="8:8">
      <c r="H314" s="4"/>
    </row>
    <row r="315" spans="8:8">
      <c r="H315" s="4"/>
    </row>
    <row r="316" spans="8:8">
      <c r="H316" s="4"/>
    </row>
    <row r="317" spans="8:8">
      <c r="H317" s="4"/>
    </row>
    <row r="318" spans="8:8">
      <c r="H318" s="4"/>
    </row>
    <row r="319" spans="8:8">
      <c r="H319" s="4"/>
    </row>
    <row r="320" spans="8:8">
      <c r="H320" s="4"/>
    </row>
    <row r="321" spans="8:8">
      <c r="H321" s="4"/>
    </row>
    <row r="322" spans="8:8">
      <c r="H322" s="4"/>
    </row>
    <row r="323" spans="8:8">
      <c r="H323" s="4"/>
    </row>
    <row r="324" spans="8:8">
      <c r="H324" s="4"/>
    </row>
    <row r="325" spans="8:8">
      <c r="H325" s="4"/>
    </row>
    <row r="326" spans="8:8">
      <c r="H326" s="4"/>
    </row>
    <row r="327" spans="8:8">
      <c r="H327" s="4"/>
    </row>
    <row r="328" spans="8:8">
      <c r="H328" s="4"/>
    </row>
    <row r="329" spans="8:8">
      <c r="H329" s="4"/>
    </row>
    <row r="330" spans="8:8">
      <c r="H330" s="4"/>
    </row>
    <row r="331" spans="8:8">
      <c r="H331" s="4"/>
    </row>
    <row r="332" spans="8:8">
      <c r="H332" s="4"/>
    </row>
    <row r="333" spans="8:8">
      <c r="H333" s="4"/>
    </row>
  </sheetData>
  <mergeCells count="1">
    <mergeCell ref="D13:E13"/>
  </mergeCells>
  <hyperlinks>
    <hyperlink ref="T33" r:id="rId1" xr:uid="{5DBDBF78-051A-AC4B-9673-12603C041D79}"/>
    <hyperlink ref="T42" r:id="rId2" xr:uid="{47BA6EF0-0317-2441-8A9C-5C762FF56B96}"/>
    <hyperlink ref="T39" r:id="rId3" xr:uid="{FCB64BD6-54ED-0546-854B-BBEBED3F3BA5}"/>
    <hyperlink ref="T38" r:id="rId4" xr:uid="{BDB9DBA4-7088-4044-9735-C880773A65D7}"/>
    <hyperlink ref="T36" r:id="rId5" xr:uid="{9A6CBC6F-4993-B446-9965-831CC5B1B96C}"/>
    <hyperlink ref="T35" r:id="rId6" xr:uid="{CA3FDD9B-1D76-BF40-8876-7473545DEEAD}"/>
    <hyperlink ref="T37" r:id="rId7" xr:uid="{BD6D46A1-073E-4845-B781-7780E0B6E0EB}"/>
    <hyperlink ref="T31" r:id="rId8" xr:uid="{38A7A73B-653B-854F-9E56-4D7C620CCDD0}"/>
    <hyperlink ref="T34" r:id="rId9" xr:uid="{CC759D80-1E12-CF47-B027-A756CD749BAE}"/>
    <hyperlink ref="T43" r:id="rId10" xr:uid="{694E2FEB-B948-0B44-BAC3-8AD42C661176}"/>
    <hyperlink ref="T32" r:id="rId11" xr:uid="{BF619788-E549-F744-AEBC-509CA42C0B74}"/>
    <hyperlink ref="T41" r:id="rId12" xr:uid="{29F94CB0-6766-F44A-9643-774370585927}"/>
    <hyperlink ref="T40" r:id="rId13" xr:uid="{FEE85A98-94E3-9E40-953C-C550CF7A465A}"/>
    <hyperlink ref="T12" r:id="rId14" xr:uid="{02C3FD56-CCEF-1E44-9567-78515D5851D1}"/>
    <hyperlink ref="T11" r:id="rId15" xr:uid="{7EC8BA53-6A66-0649-B393-55598F107A5F}"/>
    <hyperlink ref="T30" r:id="rId16" xr:uid="{B089F715-ED9E-0C4C-9195-3F5D5D344E7A}"/>
    <hyperlink ref="T29" r:id="rId17" xr:uid="{5D722D69-E32C-594B-AB92-469CD0DB83EB}"/>
    <hyperlink ref="T20" r:id="rId18" xr:uid="{C6938835-E8F5-D641-9A38-11E60D590CB2}"/>
    <hyperlink ref="T19" r:id="rId19" display="https://www.webstaurantstore.com/figaro-1-gallon-hickory-liquid-smoke-and-marinade/125FSHICK1G.html?utm_source=google&amp;utm_medium=cpc&amp;utm_campaign=GoogleShopping&amp;gclid=CjwKCAiAouD_BRBIEiwALhJH6HF14oi1RomPvCh9i5GN-0JLo-iDBZD_JjZuQHJWHc2jX59hrR_RXRoCE08QAvD_BwE" xr:uid="{8D9C9ABC-474E-F642-9FFC-4052C03D3445}"/>
    <hyperlink ref="T18" r:id="rId20" xr:uid="{72047DE9-DAE6-6349-B2F5-64551BDEB929}"/>
    <hyperlink ref="T17" r:id="rId21" xr:uid="{F4C26DD4-9EA5-9D44-BCE8-058932AA512F}"/>
    <hyperlink ref="T16" r:id="rId22" xr:uid="{1223E5B9-9F36-8B45-9C5E-E4415EEBE8D7}"/>
    <hyperlink ref="T14" r:id="rId23" xr:uid="{2BC46E25-5DC2-F741-90AC-8739077FBB94}"/>
    <hyperlink ref="T13" r:id="rId24" xr:uid="{810E0B07-D525-0E4A-8E94-688178611664}"/>
    <hyperlink ref="T8" r:id="rId25" xr:uid="{17E98DF0-68A5-8A49-B341-203B4BE5E0C6}"/>
    <hyperlink ref="T3" r:id="rId26" xr:uid="{960C0D8C-6316-2F49-B7A3-78A049B0870F}"/>
    <hyperlink ref="T5" r:id="rId27" xr:uid="{1624C079-08FE-7249-904E-B8235EA65FEE}"/>
    <hyperlink ref="T4" r:id="rId28" xr:uid="{CC3FCF20-824A-2546-9FB4-AA9B6A557CCA}"/>
    <hyperlink ref="T10" r:id="rId29" xr:uid="{AA233FA0-CB8C-6E41-AA23-AC005BC22C1B}"/>
  </hyperlinks>
  <pageMargins left="0.7" right="0.7" top="0.75" bottom="0.75" header="0.3" footer="0.3"/>
  <pageSetup orientation="portrait" horizontalDpi="0" verticalDpi="0"/>
  <legacyDrawing r:id="rId3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762C-2033-4916-9274-E1DF8736F7EE}">
  <dimension ref="A1:S169"/>
  <sheetViews>
    <sheetView zoomScale="90" zoomScaleNormal="90" workbookViewId="0">
      <pane ySplit="2" topLeftCell="A3" activePane="bottomLeft" state="frozen"/>
      <selection pane="bottomLeft" activeCell="G34" sqref="G34"/>
    </sheetView>
  </sheetViews>
  <sheetFormatPr baseColWidth="10" defaultColWidth="8.83203125" defaultRowHeight="15"/>
  <cols>
    <col min="1" max="1" width="28.1640625" bestFit="1" customWidth="1"/>
    <col min="2" max="2" width="7.5" customWidth="1"/>
    <col min="5" max="5" width="8.83203125" style="11"/>
    <col min="6" max="6" width="1.83203125" customWidth="1"/>
    <col min="7" max="7" width="19.83203125" customWidth="1"/>
    <col min="8" max="8" width="7.5" customWidth="1"/>
    <col min="9" max="9" width="8.1640625" customWidth="1"/>
    <col min="11" max="11" width="10.5" customWidth="1"/>
    <col min="14" max="15" width="11.1640625" style="1" customWidth="1"/>
    <col min="16" max="16" width="22.1640625" bestFit="1" customWidth="1"/>
    <col min="18" max="18" width="17.83203125" bestFit="1" customWidth="1"/>
  </cols>
  <sheetData>
    <row r="1" spans="1:19">
      <c r="A1" s="24"/>
      <c r="C1" s="24"/>
      <c r="G1" s="24"/>
      <c r="I1" s="24"/>
    </row>
    <row r="2" spans="1:19" ht="48">
      <c r="A2" s="7"/>
      <c r="B2" s="7" t="s">
        <v>30</v>
      </c>
      <c r="C2" s="7" t="s">
        <v>1</v>
      </c>
      <c r="D2" s="7" t="s">
        <v>3</v>
      </c>
      <c r="E2" s="13" t="s">
        <v>13</v>
      </c>
      <c r="F2" s="32"/>
      <c r="G2" s="7"/>
      <c r="H2" s="7" t="s">
        <v>30</v>
      </c>
      <c r="I2" s="7" t="s">
        <v>427</v>
      </c>
      <c r="J2" s="7" t="s">
        <v>3</v>
      </c>
      <c r="K2" s="7" t="s">
        <v>105</v>
      </c>
      <c r="L2" s="7" t="s">
        <v>104</v>
      </c>
      <c r="M2" s="7" t="s">
        <v>145</v>
      </c>
      <c r="N2" s="22" t="s">
        <v>123</v>
      </c>
      <c r="O2" s="22" t="s">
        <v>124</v>
      </c>
      <c r="P2" t="s">
        <v>38</v>
      </c>
      <c r="Q2">
        <v>0.16600000000000001</v>
      </c>
      <c r="R2" t="s">
        <v>39</v>
      </c>
      <c r="S2">
        <v>0.5</v>
      </c>
    </row>
    <row r="3" spans="1:19" ht="16">
      <c r="A3" s="7" t="s">
        <v>424</v>
      </c>
      <c r="E3" s="14">
        <f>SUM(E4:E9)+O3</f>
        <v>0.69716467828124995</v>
      </c>
      <c r="F3" s="34"/>
      <c r="G3" s="7" t="s">
        <v>52</v>
      </c>
      <c r="N3" s="14">
        <f>SUM(N4:N21)</f>
        <v>5.0767852562500009</v>
      </c>
      <c r="O3" s="14">
        <f>SUM(O4:O21)</f>
        <v>6.695217828125001E-2</v>
      </c>
    </row>
    <row r="4" spans="1:19">
      <c r="A4" t="s">
        <v>0</v>
      </c>
      <c r="B4" t="str">
        <f>IFERROR(VLOOKUP(A4,'Total Ingredients'!I:N,3,FALSE)," ")</f>
        <v>ea</v>
      </c>
      <c r="C4">
        <v>1</v>
      </c>
      <c r="D4">
        <f>C4*'Total Ingredients'!$B$3</f>
        <v>500</v>
      </c>
      <c r="E4" s="11">
        <f>VLOOKUP(A4,'Total Ingredients'!$I:$AA,7,FALSE)*C4</f>
        <v>0.125</v>
      </c>
      <c r="F4" s="32"/>
      <c r="G4" s="123" t="s">
        <v>403</v>
      </c>
      <c r="H4" s="123" t="str">
        <f>IFERROR(VLOOKUP(G4,'Total Ingredients'!I:N,3,FALSE)," ")</f>
        <v>fl oz</v>
      </c>
      <c r="I4" s="123">
        <v>0.6</v>
      </c>
      <c r="J4" s="124">
        <f ca="1">I4*'Total Ingredients'!$M$8</f>
        <v>120</v>
      </c>
      <c r="K4" s="124">
        <f t="shared" ref="K4:K10" ca="1" si="0">J4*2</f>
        <v>240</v>
      </c>
      <c r="L4" s="124">
        <f t="shared" ref="L4:L10" ca="1" si="1">J4/8</f>
        <v>15</v>
      </c>
      <c r="M4" s="124" t="e">
        <f ca="1">J4*VLOOKUP(G4,'Spice Conversion'!A:J,7,FALSE)</f>
        <v>#N/A</v>
      </c>
      <c r="N4" s="125">
        <f>VLOOKUP(G4,'Total Ingredients'!I:O,7,FALSE)</f>
        <v>4.6875E-2</v>
      </c>
      <c r="O4" s="126">
        <f t="shared" ref="O4:O11" si="2">$I4*$C$21*$N4</f>
        <v>2.8124999999999999E-3</v>
      </c>
    </row>
    <row r="5" spans="1:19">
      <c r="A5" t="s">
        <v>32</v>
      </c>
      <c r="B5" t="str">
        <f>IFERROR(VLOOKUP(A5,'Total Ingredients'!I:N,3,FALSE)," ")</f>
        <v>lbs</v>
      </c>
      <c r="C5">
        <v>0.08</v>
      </c>
      <c r="D5">
        <f>C5*'Total Ingredients'!$B$3</f>
        <v>40</v>
      </c>
      <c r="E5" s="11">
        <f>VLOOKUP(A5,'Total Ingredients'!$I:$AA,7,FALSE)*C5</f>
        <v>0.24</v>
      </c>
      <c r="F5" s="32"/>
      <c r="G5" s="123" t="s">
        <v>404</v>
      </c>
      <c r="H5" s="123" t="str">
        <f>IFERROR(VLOOKUP(G5,'Total Ingredients'!I:N,3,FALSE)," ")</f>
        <v>ea</v>
      </c>
      <c r="I5" s="123">
        <v>0.125</v>
      </c>
      <c r="J5" s="124">
        <f ca="1">I5*'Total Ingredients'!$M$8</f>
        <v>25</v>
      </c>
      <c r="K5" s="124">
        <f t="shared" ca="1" si="0"/>
        <v>50</v>
      </c>
      <c r="L5" s="124">
        <f t="shared" ca="1" si="1"/>
        <v>3.125</v>
      </c>
      <c r="M5" s="124" t="e">
        <f ca="1">J5*VLOOKUP(G5,'Spice Conversion'!A:J,7,FALSE)</f>
        <v>#N/A</v>
      </c>
      <c r="N5" s="125">
        <f>VLOOKUP(G5,'Total Ingredients'!I:O,7,FALSE)</f>
        <v>1</v>
      </c>
      <c r="O5" s="126">
        <f t="shared" si="2"/>
        <v>1.2500000000000001E-2</v>
      </c>
    </row>
    <row r="6" spans="1:19">
      <c r="A6" t="s">
        <v>149</v>
      </c>
      <c r="B6" t="str">
        <f>IFERROR(VLOOKUP(A6,'Total Ingredients'!I:N,3,FALSE)," ")</f>
        <v>lbs</v>
      </c>
      <c r="C6">
        <v>0.02</v>
      </c>
      <c r="D6">
        <f>C6*'Total Ingredients'!$B$3</f>
        <v>10</v>
      </c>
      <c r="E6" s="11">
        <f>VLOOKUP(A6,'Total Ingredients'!$I:$AA,7,FALSE)*C6</f>
        <v>2.2400000000000003E-2</v>
      </c>
      <c r="F6" s="32"/>
      <c r="G6" s="123" t="s">
        <v>405</v>
      </c>
      <c r="H6" s="123" t="str">
        <f>IFERROR(VLOOKUP(G6,'Total Ingredients'!I:N,3,FALSE)," ")</f>
        <v>oz</v>
      </c>
      <c r="I6" s="123">
        <v>0.28000000000000003</v>
      </c>
      <c r="J6" s="124">
        <f ca="1">I6*'Total Ingredients'!$M$8</f>
        <v>56.000000000000007</v>
      </c>
      <c r="K6" s="124">
        <f t="shared" ca="1" si="0"/>
        <v>112.00000000000001</v>
      </c>
      <c r="L6" s="124">
        <f t="shared" ca="1" si="1"/>
        <v>7.0000000000000009</v>
      </c>
      <c r="M6" s="124" t="e">
        <f ca="1">J6*VLOOKUP(G6,'Spice Conversion'!A:J,7,FALSE)</f>
        <v>#N/A</v>
      </c>
      <c r="N6" s="125">
        <f>VLOOKUP(G6,'Total Ingredients'!I:O,7,FALSE)</f>
        <v>0.375</v>
      </c>
      <c r="O6" s="126">
        <f t="shared" si="2"/>
        <v>1.0500000000000002E-2</v>
      </c>
      <c r="P6" t="s">
        <v>428</v>
      </c>
    </row>
    <row r="7" spans="1:19">
      <c r="A7" t="s">
        <v>425</v>
      </c>
      <c r="B7" t="str">
        <f>IFERROR(VLOOKUP(A7,'Total Ingredients'!I:N,3,FALSE)," ")</f>
        <v>fl oz</v>
      </c>
      <c r="C7">
        <v>0.03</v>
      </c>
      <c r="D7">
        <f>C7*'Total Ingredients'!$B$3</f>
        <v>15</v>
      </c>
      <c r="E7" s="11">
        <f>VLOOKUP(A7,'Total Ingredients'!$I:$AA,7,FALSE)*C7</f>
        <v>3.7499999999999999E-3</v>
      </c>
      <c r="F7" s="32"/>
      <c r="G7" s="123" t="s">
        <v>406</v>
      </c>
      <c r="H7" s="123" t="str">
        <f>IFERROR(VLOOKUP(G7,'Total Ingredients'!I:N,3,FALSE)," ")</f>
        <v>fl oz</v>
      </c>
      <c r="I7" s="123">
        <v>0.25</v>
      </c>
      <c r="J7" s="124">
        <f ca="1">I7*'Total Ingredients'!$M$8</f>
        <v>50</v>
      </c>
      <c r="K7" s="124">
        <f t="shared" ca="1" si="0"/>
        <v>100</v>
      </c>
      <c r="L7" s="124">
        <f t="shared" ca="1" si="1"/>
        <v>6.25</v>
      </c>
      <c r="M7" s="124" t="e">
        <f ca="1">J7*VLOOKUP(G7,'Spice Conversion'!A:J,7,FALSE)</f>
        <v>#N/A</v>
      </c>
      <c r="N7" s="125">
        <f>VLOOKUP(G7,'Total Ingredients'!I:O,7,FALSE)</f>
        <v>9.9999999999999992E-2</v>
      </c>
      <c r="O7" s="126">
        <f t="shared" si="2"/>
        <v>2.5000000000000001E-3</v>
      </c>
    </row>
    <row r="8" spans="1:19">
      <c r="A8" t="s">
        <v>422</v>
      </c>
      <c r="B8" t="str">
        <f>IFERROR(VLOOKUP(A8,'Total Ingredients'!I:N,3,FALSE)," ")</f>
        <v>lbs</v>
      </c>
      <c r="C8">
        <v>0.1</v>
      </c>
      <c r="D8">
        <f>C8*'Total Ingredients'!$B$3</f>
        <v>50</v>
      </c>
      <c r="E8" s="11">
        <f>VLOOKUP(A8,'Total Ingredients'!$I:$AA,7,FALSE)*C8</f>
        <v>0.2</v>
      </c>
      <c r="F8" s="32"/>
      <c r="G8" s="123" t="s">
        <v>108</v>
      </c>
      <c r="H8" s="123" t="str">
        <f>IFERROR(VLOOKUP(G8,'Total Ingredients'!I:N,3,FALSE)," ")</f>
        <v>fl oz</v>
      </c>
      <c r="I8" s="123">
        <v>0.25</v>
      </c>
      <c r="J8" s="124">
        <f ca="1">I8*'Total Ingredients'!$M$8</f>
        <v>50</v>
      </c>
      <c r="K8" s="124">
        <f t="shared" ca="1" si="0"/>
        <v>100</v>
      </c>
      <c r="L8" s="124">
        <f t="shared" ca="1" si="1"/>
        <v>6.25</v>
      </c>
      <c r="M8" s="124">
        <f ca="1">J8*VLOOKUP(G8,'Spice Conversion'!A:J,7,FALSE)</f>
        <v>457.5</v>
      </c>
      <c r="N8" s="125">
        <f>VLOOKUP(G8,'Total Ingredients'!I:O,7,FALSE)</f>
        <v>0.14892578125</v>
      </c>
      <c r="O8" s="126">
        <f t="shared" si="2"/>
        <v>3.72314453125E-3</v>
      </c>
    </row>
    <row r="9" spans="1:19">
      <c r="A9" t="s">
        <v>40</v>
      </c>
      <c r="B9" t="str">
        <f>IFERROR(VLOOKUP(A9,'Total Ingredients'!I:N,3,FALSE)," ")</f>
        <v>fl oz</v>
      </c>
      <c r="C9">
        <v>0.5</v>
      </c>
      <c r="D9">
        <f>C9*'Total Ingredients'!$B$3</f>
        <v>250</v>
      </c>
      <c r="E9" s="11">
        <f>VLOOKUP(A9,'Total Ingredients'!$I:$AA,7,FALSE)*C9</f>
        <v>3.90625E-2</v>
      </c>
      <c r="F9" s="32"/>
      <c r="G9" s="123" t="s">
        <v>429</v>
      </c>
      <c r="H9" s="123" t="str">
        <f>IFERROR(VLOOKUP(G9,'Total Ingredients'!I:N,3,FALSE)," ")</f>
        <v>fl oz</v>
      </c>
      <c r="I9" s="123">
        <v>4</v>
      </c>
      <c r="J9" s="124">
        <f ca="1">I9*'Total Ingredients'!$M$8</f>
        <v>800</v>
      </c>
      <c r="K9" s="124">
        <f t="shared" ref="K9" ca="1" si="3">J9*2</f>
        <v>1600</v>
      </c>
      <c r="L9" s="124">
        <f t="shared" ref="L9" ca="1" si="4">J9/8</f>
        <v>100</v>
      </c>
      <c r="M9" s="124" t="e">
        <f ca="1">J9*VLOOKUP(G9,'Spice Conversion'!A:J,7,FALSE)</f>
        <v>#N/A</v>
      </c>
      <c r="N9" s="125">
        <f>VLOOKUP(G9,'Total Ingredients'!I:O,7,FALSE)</f>
        <v>9.9999999999999995E-8</v>
      </c>
      <c r="O9" s="126">
        <f t="shared" si="2"/>
        <v>4.0000000000000001E-8</v>
      </c>
    </row>
    <row r="10" spans="1:19">
      <c r="A10" s="6" t="s">
        <v>300</v>
      </c>
      <c r="B10" t="str">
        <f>IFERROR(VLOOKUP(A10,'Total Ingredients'!I:N,3,FALSE)," ")</f>
        <v xml:space="preserve"> </v>
      </c>
      <c r="E10" s="14">
        <f>SUM(E11:E16)+O3</f>
        <v>0.76130217828125013</v>
      </c>
      <c r="F10" s="32"/>
      <c r="G10" s="123" t="s">
        <v>420</v>
      </c>
      <c r="H10" s="123" t="str">
        <f>IFERROR(VLOOKUP(G10,'Total Ingredients'!I:N,3,FALSE)," ")</f>
        <v>oz</v>
      </c>
      <c r="I10" s="123">
        <v>0.25</v>
      </c>
      <c r="J10" s="124">
        <f ca="1">I10*'Total Ingredients'!$M$8</f>
        <v>50</v>
      </c>
      <c r="K10" s="124">
        <f t="shared" ca="1" si="0"/>
        <v>100</v>
      </c>
      <c r="L10" s="124">
        <f t="shared" ca="1" si="1"/>
        <v>6.25</v>
      </c>
      <c r="M10" s="124" t="e">
        <f ca="1">J10*VLOOKUP(G10,'Spice Conversion'!A:J,7,FALSE)</f>
        <v>#N/A</v>
      </c>
      <c r="N10" s="125">
        <f>VLOOKUP(G10,'Total Ingredients'!I:O,7,FALSE)</f>
        <v>0.1</v>
      </c>
      <c r="O10" s="126">
        <f t="shared" si="2"/>
        <v>2.5000000000000005E-3</v>
      </c>
      <c r="Q10" s="38"/>
      <c r="R10" s="38"/>
    </row>
    <row r="11" spans="1:19">
      <c r="A11" t="s">
        <v>0</v>
      </c>
      <c r="B11" t="str">
        <f>IFERROR(VLOOKUP(A11,'Total Ingredients'!I:N,3,FALSE)," ")</f>
        <v>ea</v>
      </c>
      <c r="C11">
        <v>1</v>
      </c>
      <c r="D11">
        <f>C11*'Total Ingredients'!$B$4</f>
        <v>500</v>
      </c>
      <c r="E11" s="11">
        <f>VLOOKUP(A11,'Total Ingredients'!$I:$AA,7,FALSE)*C11</f>
        <v>0.125</v>
      </c>
      <c r="F11" s="32"/>
      <c r="G11" s="123" t="s">
        <v>431</v>
      </c>
      <c r="H11" s="123" t="str">
        <f>IFERROR(VLOOKUP(G11,'Total Ingredients'!I:N,3,FALSE)," ")</f>
        <v>lbs</v>
      </c>
      <c r="I11" s="123">
        <v>0.15</v>
      </c>
      <c r="J11" s="124">
        <f ca="1">I11*'Total Ingredients'!$M$8</f>
        <v>30</v>
      </c>
      <c r="K11" s="124">
        <f t="shared" ref="K11" ca="1" si="5">J11*2</f>
        <v>60</v>
      </c>
      <c r="L11" s="124">
        <f t="shared" ref="L11" ca="1" si="6">J11/8</f>
        <v>3.75</v>
      </c>
      <c r="M11" s="124" t="e">
        <f ca="1">J11*VLOOKUP(G11,'Spice Conversion'!A:J,7,FALSE)</f>
        <v>#N/A</v>
      </c>
      <c r="N11" s="125">
        <f>VLOOKUP(G11,'Total Ingredients'!I:O,7,FALSE)</f>
        <v>1.1200000000000001</v>
      </c>
      <c r="O11" s="126">
        <f t="shared" si="2"/>
        <v>1.6800000000000002E-2</v>
      </c>
    </row>
    <row r="12" spans="1:19">
      <c r="A12" t="s">
        <v>8</v>
      </c>
      <c r="B12" t="str">
        <f>IFERROR(VLOOKUP(A12,'Total Ingredients'!I:N,3,FALSE)," ")</f>
        <v>lbs</v>
      </c>
      <c r="C12">
        <v>0.125</v>
      </c>
      <c r="D12">
        <f>C12*'Total Ingredients'!$B$3</f>
        <v>62.5</v>
      </c>
      <c r="E12" s="11">
        <f>VLOOKUP(A12,'Total Ingredients'!$I:$AA,7,FALSE)*C12</f>
        <v>0.25</v>
      </c>
      <c r="F12" s="32"/>
      <c r="G12" s="60" t="s">
        <v>20</v>
      </c>
      <c r="H12" s="60" t="str">
        <f>IFERROR(VLOOKUP(G12,'Total Ingredients'!I:N,3,FALSE)," ")</f>
        <v>fl oz</v>
      </c>
      <c r="I12" s="85">
        <v>0.25</v>
      </c>
      <c r="J12" s="85">
        <f ca="1">I12*'Total Ingredients'!$M$8</f>
        <v>50</v>
      </c>
      <c r="K12" s="85">
        <f t="shared" ref="K12" ca="1" si="7">J12*2</f>
        <v>100</v>
      </c>
      <c r="L12" s="3">
        <f t="shared" ref="L12" ca="1" si="8">J12/8</f>
        <v>6.25</v>
      </c>
      <c r="M12" s="3"/>
      <c r="N12" s="1">
        <f>VLOOKUP(G12,'Total Ingredients'!I:O,7,FALSE)</f>
        <v>0.12</v>
      </c>
      <c r="O12" s="38">
        <f t="shared" ref="O12:O21" si="9">$I12*$C$8*$N12</f>
        <v>3.0000000000000001E-3</v>
      </c>
    </row>
    <row r="13" spans="1:19">
      <c r="A13" t="s">
        <v>9</v>
      </c>
      <c r="B13" t="str">
        <f>IFERROR(VLOOKUP(A13,'Total Ingredients'!I:N,3,FALSE)," ")</f>
        <v>ea</v>
      </c>
      <c r="C13">
        <v>0.02</v>
      </c>
      <c r="D13">
        <f>C13*'Total Ingredients'!$B$3</f>
        <v>10</v>
      </c>
      <c r="E13" s="11">
        <f>VLOOKUP(A13,'Total Ingredients'!$I:$AA,7,FALSE)*C13</f>
        <v>1.5600000000000001E-2</v>
      </c>
      <c r="F13" s="32"/>
      <c r="G13" s="60" t="s">
        <v>22</v>
      </c>
      <c r="H13" s="60" t="str">
        <f>IFERROR(VLOOKUP(G13,'Total Ingredients'!I:N,3,FALSE)," ")</f>
        <v>fl oz</v>
      </c>
      <c r="I13" s="85">
        <v>0.125</v>
      </c>
      <c r="J13" s="85">
        <f ca="1">I13*'Total Ingredients'!$M$8</f>
        <v>25</v>
      </c>
      <c r="K13" s="85">
        <f t="shared" ref="K13:K21" ca="1" si="10">J13*2</f>
        <v>50</v>
      </c>
      <c r="L13" s="3">
        <f t="shared" ref="L13:L21" ca="1" si="11">J13/8</f>
        <v>3.125</v>
      </c>
      <c r="M13" s="3">
        <f ca="1">J13*VLOOKUP(G13,'Spice Conversion'!A:J,7,FALSE)</f>
        <v>84.5</v>
      </c>
      <c r="N13" s="1">
        <f>VLOOKUP(G13,'Total Ingredients'!I:O,7,FALSE)</f>
        <v>0.19804687499999998</v>
      </c>
      <c r="O13" s="38">
        <f t="shared" si="9"/>
        <v>2.4755859375000001E-3</v>
      </c>
    </row>
    <row r="14" spans="1:19">
      <c r="A14" t="s">
        <v>10</v>
      </c>
      <c r="B14" t="str">
        <f>IFERROR(VLOOKUP(A14,'Total Ingredients'!I:N,3,FALSE)," ")</f>
        <v>ea</v>
      </c>
      <c r="C14">
        <v>0.05</v>
      </c>
      <c r="D14">
        <f>C14*'Total Ingredients'!$B$3</f>
        <v>25</v>
      </c>
      <c r="E14" s="11">
        <f>VLOOKUP(A14,'Total Ingredients'!$I:$AA,7,FALSE)*C14</f>
        <v>0.1</v>
      </c>
      <c r="F14" s="32"/>
      <c r="G14" s="60" t="s">
        <v>23</v>
      </c>
      <c r="H14" s="60" t="str">
        <f>IFERROR(VLOOKUP(G14,'Total Ingredients'!I:N,3,FALSE)," ")</f>
        <v>fl oz</v>
      </c>
      <c r="I14" s="85">
        <v>0.12</v>
      </c>
      <c r="J14" s="85">
        <f ca="1">I14*'Total Ingredients'!$M$8</f>
        <v>24</v>
      </c>
      <c r="K14" s="85">
        <f t="shared" ca="1" si="10"/>
        <v>48</v>
      </c>
      <c r="L14" s="3">
        <f t="shared" ca="1" si="11"/>
        <v>3</v>
      </c>
      <c r="M14" s="3">
        <f ca="1">J14*VLOOKUP(G14,'Spice Conversion'!A:J,7,FALSE)</f>
        <v>41.04</v>
      </c>
      <c r="N14" s="1">
        <f>VLOOKUP(G14,'Total Ingredients'!I:O,7,FALSE)</f>
        <v>0.1603125</v>
      </c>
      <c r="O14" s="38">
        <f t="shared" si="9"/>
        <v>1.9237499999999999E-3</v>
      </c>
    </row>
    <row r="15" spans="1:19">
      <c r="A15" t="s">
        <v>422</v>
      </c>
      <c r="B15" t="str">
        <f>IFERROR(VLOOKUP(A15,'Total Ingredients'!I:N,3,FALSE)," ")</f>
        <v>lbs</v>
      </c>
      <c r="C15">
        <v>0.1</v>
      </c>
      <c r="D15">
        <f>C15*'Total Ingredients'!$B$3</f>
        <v>50</v>
      </c>
      <c r="E15" s="11">
        <f>VLOOKUP(A15,'Total Ingredients'!$I:$AA,7,FALSE)*C15</f>
        <v>0.2</v>
      </c>
      <c r="F15" s="32"/>
      <c r="G15" s="60" t="s">
        <v>18</v>
      </c>
      <c r="H15" s="60" t="str">
        <f>IFERROR(VLOOKUP(G15,'Total Ingredients'!I:N,3,FALSE)," ")</f>
        <v>fl oz</v>
      </c>
      <c r="I15" s="85">
        <v>0.06</v>
      </c>
      <c r="J15" s="85">
        <f ca="1">I15*'Total Ingredients'!$M$8</f>
        <v>12</v>
      </c>
      <c r="K15" s="85">
        <f t="shared" ref="K15" ca="1" si="12">J15*2</f>
        <v>24</v>
      </c>
      <c r="L15" s="3">
        <f t="shared" ref="L15" ca="1" si="13">J15/8</f>
        <v>1.5</v>
      </c>
      <c r="M15" s="3">
        <f ca="1">J15*VLOOKUP(G15,'Spice Conversion'!A:J,7,FALSE)</f>
        <v>15.96</v>
      </c>
      <c r="N15" s="1">
        <f>VLOOKUP(G15,'Total Ingredients'!I:O,7,FALSE)</f>
        <v>0.5</v>
      </c>
      <c r="O15" s="38">
        <f t="shared" si="9"/>
        <v>3.0000000000000001E-3</v>
      </c>
    </row>
    <row r="16" spans="1:19">
      <c r="A16" t="s">
        <v>425</v>
      </c>
      <c r="B16" t="str">
        <f>IFERROR(VLOOKUP(A16,'Total Ingredients'!I:N,3,FALSE)," ")</f>
        <v>fl oz</v>
      </c>
      <c r="C16">
        <v>0.03</v>
      </c>
      <c r="D16">
        <f>C16*'Total Ingredients'!$B$3</f>
        <v>15</v>
      </c>
      <c r="E16" s="11">
        <f>VLOOKUP(A16,'Total Ingredients'!$I:$AA,7,FALSE)*C16</f>
        <v>3.7499999999999999E-3</v>
      </c>
      <c r="F16" s="32"/>
      <c r="G16" s="60" t="s">
        <v>24</v>
      </c>
      <c r="H16" s="60" t="str">
        <f>IFERROR(VLOOKUP(G16,'Total Ingredients'!I:N,3,FALSE)," ")</f>
        <v>fl oz</v>
      </c>
      <c r="I16" s="85">
        <v>0.12</v>
      </c>
      <c r="J16" s="85">
        <f ca="1">I16*'Total Ingredients'!$M$8</f>
        <v>24</v>
      </c>
      <c r="K16" s="85">
        <f t="shared" ca="1" si="10"/>
        <v>48</v>
      </c>
      <c r="L16" s="3">
        <f t="shared" ca="1" si="11"/>
        <v>3</v>
      </c>
      <c r="M16" s="3">
        <f ca="1">J16*VLOOKUP(G16,'Spice Conversion'!A:J,7,FALSE)</f>
        <v>209.52</v>
      </c>
      <c r="N16" s="1">
        <f>VLOOKUP(G16,'Total Ingredients'!I:O,7,FALSE)</f>
        <v>0.13640625000000001</v>
      </c>
      <c r="O16" s="38">
        <f t="shared" si="9"/>
        <v>1.6368750000000001E-3</v>
      </c>
    </row>
    <row r="17" spans="1:19">
      <c r="A17" s="6" t="s">
        <v>7</v>
      </c>
      <c r="B17" t="str">
        <f>IFERROR(VLOOKUP(A17,'Total Ingredients'!I:N,3,FALSE)," ")</f>
        <v xml:space="preserve"> </v>
      </c>
      <c r="E17" s="14">
        <f>SUM(E18:E22)+O22</f>
        <v>0.70037334752604163</v>
      </c>
      <c r="F17" s="32"/>
      <c r="G17" s="60" t="s">
        <v>25</v>
      </c>
      <c r="H17" s="60" t="str">
        <f>IFERROR(VLOOKUP(G17,'Total Ingredients'!I:N,3,FALSE)," ")</f>
        <v>fl oz</v>
      </c>
      <c r="I17" s="85">
        <v>4.1500000000000002E-2</v>
      </c>
      <c r="J17" s="85">
        <f ca="1">I17*'Total Ingredients'!$M$8</f>
        <v>8.3000000000000007</v>
      </c>
      <c r="K17" s="85">
        <f t="shared" ca="1" si="10"/>
        <v>16.600000000000001</v>
      </c>
      <c r="L17" s="3">
        <f t="shared" ca="1" si="11"/>
        <v>1.0375000000000001</v>
      </c>
      <c r="M17" s="3">
        <f ca="1">J17*VLOOKUP(G17,'Spice Conversion'!A:J,7,FALSE)</f>
        <v>31.208000000000002</v>
      </c>
      <c r="N17" s="1">
        <f>VLOOKUP(G17,'Total Ingredients'!I:O,7,FALSE)</f>
        <v>0.28200000000000003</v>
      </c>
      <c r="O17" s="38">
        <f t="shared" si="9"/>
        <v>1.1703000000000002E-3</v>
      </c>
    </row>
    <row r="18" spans="1:19">
      <c r="A18" t="s">
        <v>0</v>
      </c>
      <c r="B18" t="str">
        <f>IFERROR(VLOOKUP(A18,'Total Ingredients'!I:N,3,FALSE)," ")</f>
        <v>ea</v>
      </c>
      <c r="C18">
        <v>1</v>
      </c>
      <c r="D18">
        <f>C18*'Total Ingredients'!$B$5</f>
        <v>500</v>
      </c>
      <c r="E18" s="11">
        <f>VLOOKUP(A18,'Total Ingredients'!$I:$AA,7,FALSE)*C18</f>
        <v>0.125</v>
      </c>
      <c r="F18" s="32"/>
      <c r="G18" s="60" t="s">
        <v>26</v>
      </c>
      <c r="H18" s="60" t="str">
        <f>IFERROR(VLOOKUP(G18,'Total Ingredients'!I:N,3,FALSE)," ")</f>
        <v>fl oz</v>
      </c>
      <c r="I18" s="85">
        <v>4.1500000000000002E-2</v>
      </c>
      <c r="J18" s="85">
        <f ca="1">I18*'Total Ingredients'!$M$8</f>
        <v>8.3000000000000007</v>
      </c>
      <c r="K18" s="85">
        <f t="shared" ca="1" si="10"/>
        <v>16.600000000000001</v>
      </c>
      <c r="L18" s="3">
        <f t="shared" ca="1" si="11"/>
        <v>1.0375000000000001</v>
      </c>
      <c r="M18" s="3">
        <f ca="1">J18*VLOOKUP(G18,'Spice Conversion'!A:J,7,FALSE)</f>
        <v>37.267000000000003</v>
      </c>
      <c r="N18" s="1">
        <f>VLOOKUP(G18,'Total Ingredients'!I:O,7,FALSE)</f>
        <v>0.19643750000000001</v>
      </c>
      <c r="O18" s="38">
        <f t="shared" si="9"/>
        <v>8.152156250000001E-4</v>
      </c>
    </row>
    <row r="19" spans="1:19">
      <c r="A19" t="s">
        <v>32</v>
      </c>
      <c r="B19" t="str">
        <f>IFERROR(VLOOKUP(A19,'Total Ingredients'!I:N,3,FALSE)," ")</f>
        <v>lbs</v>
      </c>
      <c r="C19">
        <v>0.08</v>
      </c>
      <c r="D19">
        <f>C19*'Total Ingredients'!$B$5</f>
        <v>40</v>
      </c>
      <c r="E19" s="11">
        <f>VLOOKUP(A19,'Total Ingredients'!$I:$AA,7,FALSE)*C19</f>
        <v>0.24</v>
      </c>
      <c r="F19" s="32"/>
      <c r="G19" s="60" t="s">
        <v>27</v>
      </c>
      <c r="H19" s="60" t="str">
        <f>IFERROR(VLOOKUP(G19,'Total Ingredients'!I:N,3,FALSE)," ")</f>
        <v>fl oz</v>
      </c>
      <c r="I19" s="85">
        <v>4.1500000000000002E-2</v>
      </c>
      <c r="J19" s="85">
        <f ca="1">I19*'Total Ingredients'!$M$8</f>
        <v>8.3000000000000007</v>
      </c>
      <c r="K19" s="85">
        <f t="shared" ca="1" si="10"/>
        <v>16.600000000000001</v>
      </c>
      <c r="L19" s="3">
        <f t="shared" ca="1" si="11"/>
        <v>1.0375000000000001</v>
      </c>
      <c r="M19" s="3">
        <f ca="1">J19*VLOOKUP(G19,'Spice Conversion'!A:J,7,FALSE)</f>
        <v>31.125000000000004</v>
      </c>
      <c r="N19" s="1">
        <f>VLOOKUP(G19,'Total Ingredients'!I:O,7,FALSE)</f>
        <v>0.17578125</v>
      </c>
      <c r="O19" s="38">
        <f t="shared" si="9"/>
        <v>7.294921875E-4</v>
      </c>
      <c r="S19" s="9"/>
    </row>
    <row r="20" spans="1:19">
      <c r="A20" t="s">
        <v>425</v>
      </c>
      <c r="B20" t="str">
        <f>IFERROR(VLOOKUP(A20,'Total Ingredients'!I:N,3,FALSE)," ")</f>
        <v>fl oz</v>
      </c>
      <c r="C20">
        <v>0.03</v>
      </c>
      <c r="D20">
        <f>C20*'Total Ingredients'!$B$5</f>
        <v>15</v>
      </c>
      <c r="E20" s="11">
        <f>VLOOKUP(A20,'Total Ingredients'!$I:$AA,7,FALSE)*C20</f>
        <v>3.7499999999999999E-3</v>
      </c>
      <c r="F20" s="32"/>
      <c r="G20" s="60" t="s">
        <v>86</v>
      </c>
      <c r="H20" s="60" t="str">
        <f>IFERROR(VLOOKUP(G20,'Total Ingredients'!I:N,3,FALSE)," ")</f>
        <v>fl oz</v>
      </c>
      <c r="I20" s="85">
        <v>2.0750000000000001E-2</v>
      </c>
      <c r="J20" s="85">
        <f ca="1">I20*'Total Ingredients'!$M$8</f>
        <v>4.1500000000000004</v>
      </c>
      <c r="K20" s="85">
        <f t="shared" ca="1" si="10"/>
        <v>8.3000000000000007</v>
      </c>
      <c r="L20" s="3">
        <f t="shared" ca="1" si="11"/>
        <v>0.51875000000000004</v>
      </c>
      <c r="M20" s="3">
        <f ca="1">J20*VLOOKUP(G20,'Spice Conversion'!A:J,7,FALSE)</f>
        <v>15.936</v>
      </c>
      <c r="N20" s="1">
        <f>VLOOKUP(G20,'Total Ingredients'!I:O,7,FALSE)</f>
        <v>0.19199999999999998</v>
      </c>
      <c r="O20" s="38">
        <f t="shared" si="9"/>
        <v>3.9839999999999998E-4</v>
      </c>
    </row>
    <row r="21" spans="1:19">
      <c r="A21" t="s">
        <v>426</v>
      </c>
      <c r="B21" t="str">
        <f>IFERROR(VLOOKUP(A21,'Total Ingredients'!I:N,3,FALSE)," ")</f>
        <v>lbs</v>
      </c>
      <c r="C21">
        <v>0.1</v>
      </c>
      <c r="D21">
        <f>C21*'Total Ingredients'!$B$5</f>
        <v>50</v>
      </c>
      <c r="E21" s="11">
        <f>VLOOKUP(A21,'Total Ingredients'!$I:$AA,7,FALSE)*C21</f>
        <v>0.2</v>
      </c>
      <c r="F21" s="32"/>
      <c r="G21" s="60" t="s">
        <v>28</v>
      </c>
      <c r="H21" s="60" t="str">
        <f>IFERROR(VLOOKUP(G21,'Total Ingredients'!I:N,3,FALSE)," ")</f>
        <v>fl oz</v>
      </c>
      <c r="I21" s="85">
        <v>2.0750000000000001E-2</v>
      </c>
      <c r="J21" s="85">
        <f ca="1">I21*'Total Ingredients'!$M$8</f>
        <v>4.1500000000000004</v>
      </c>
      <c r="K21" s="85">
        <f t="shared" ca="1" si="10"/>
        <v>8.3000000000000007</v>
      </c>
      <c r="L21" s="3">
        <f t="shared" ca="1" si="11"/>
        <v>0.51875000000000004</v>
      </c>
      <c r="M21" s="3">
        <f ca="1">J21*VLOOKUP(G21,'Spice Conversion'!A:J,7,FALSE)</f>
        <v>16.600000000000001</v>
      </c>
      <c r="N21" s="1">
        <f>VLOOKUP(G21,'Total Ingredients'!I:O,7,FALSE)</f>
        <v>0.22500000000000001</v>
      </c>
      <c r="O21" s="38">
        <f t="shared" si="9"/>
        <v>4.66875E-4</v>
      </c>
    </row>
    <row r="22" spans="1:19" ht="16">
      <c r="A22" t="s">
        <v>41</v>
      </c>
      <c r="B22" t="str">
        <f>IFERROR(VLOOKUP(A22,'Total Ingredients'!I:N,3,FALSE)," ")</f>
        <v>fl oz</v>
      </c>
      <c r="C22">
        <v>0.5</v>
      </c>
      <c r="D22">
        <f>C22*'Total Ingredients'!$B$5</f>
        <v>250</v>
      </c>
      <c r="E22" s="11">
        <f>VLOOKUP(A22,'Total Ingredients'!$I:$AA,7,FALSE)*C22</f>
        <v>6.25E-2</v>
      </c>
      <c r="F22" s="32"/>
      <c r="G22" s="7" t="s">
        <v>51</v>
      </c>
      <c r="N22" s="14">
        <f>SUM(N23:N32)</f>
        <v>2.7161380208333332</v>
      </c>
      <c r="O22" s="14">
        <f>SUM(O23:O32)</f>
        <v>6.912334752604167E-2</v>
      </c>
    </row>
    <row r="23" spans="1:19">
      <c r="A23" s="6" t="s">
        <v>423</v>
      </c>
      <c r="E23" s="14">
        <f>SUM(E24:E27)+O34</f>
        <v>0.58699062292038684</v>
      </c>
      <c r="F23" s="32"/>
      <c r="G23" t="s">
        <v>46</v>
      </c>
      <c r="H23" t="str">
        <f>IFERROR(VLOOKUP(G23,'Total Ingredients'!I:N,3,FALSE)," ")</f>
        <v>fl oz</v>
      </c>
      <c r="I23" s="3">
        <v>1</v>
      </c>
      <c r="J23" s="3">
        <f ca="1">I23*'Total Ingredients'!$M$9</f>
        <v>100</v>
      </c>
      <c r="K23" s="3">
        <f t="shared" ref="K23:K31" ca="1" si="14">J23*2</f>
        <v>200</v>
      </c>
      <c r="L23" s="3">
        <f t="shared" ref="L23:L32" ca="1" si="15">J23/8</f>
        <v>12.5</v>
      </c>
      <c r="M23" s="3">
        <f ca="1">J23*VLOOKUP(G23,'Spice Conversion'!A:J,7,FALSE)</f>
        <v>425</v>
      </c>
      <c r="N23" s="1">
        <f>VLOOKUP(G23,'Total Ingredients'!I:O,7,FALSE)</f>
        <v>0.3984375</v>
      </c>
      <c r="O23" s="38">
        <f>$I23*$C$21*$N23</f>
        <v>3.9843750000000004E-2</v>
      </c>
      <c r="R23" s="2"/>
    </row>
    <row r="24" spans="1:19">
      <c r="A24" t="s">
        <v>0</v>
      </c>
      <c r="B24" t="str">
        <f>IFERROR(VLOOKUP(A24,'Total Ingredients'!I:N,3,FALSE)," ")</f>
        <v>ea</v>
      </c>
      <c r="C24">
        <v>1</v>
      </c>
      <c r="D24">
        <f>C24*'Total Ingredients'!$B$6</f>
        <v>500</v>
      </c>
      <c r="E24" s="11">
        <f>VLOOKUP(A24,'Total Ingredients'!$I:$AA,7,FALSE)*C24</f>
        <v>0.125</v>
      </c>
      <c r="F24" s="32"/>
      <c r="G24" t="s">
        <v>47</v>
      </c>
      <c r="H24" t="str">
        <f>IFERROR(VLOOKUP(G24,'Total Ingredients'!I:N,3,FALSE)," ")</f>
        <v>fl oz</v>
      </c>
      <c r="I24" s="3">
        <v>0.25</v>
      </c>
      <c r="J24" s="3">
        <f ca="1">I24*'Total Ingredients'!$M$9</f>
        <v>25</v>
      </c>
      <c r="K24" s="3">
        <f t="shared" ca="1" si="14"/>
        <v>50</v>
      </c>
      <c r="L24" s="3">
        <f t="shared" ca="1" si="15"/>
        <v>3.125</v>
      </c>
      <c r="M24" s="3">
        <f ca="1">J24*VLOOKUP(G24,'Spice Conversion'!A:J,7,FALSE)</f>
        <v>17.25</v>
      </c>
      <c r="N24" s="1">
        <f>VLOOKUP(G24,'Total Ingredients'!I:O,7,FALSE)</f>
        <v>0.10062499999999998</v>
      </c>
      <c r="O24" s="38">
        <f t="shared" ref="O24:O31" si="16">$I24*$C$21*$N24</f>
        <v>2.5156249999999996E-3</v>
      </c>
      <c r="R24" s="16"/>
    </row>
    <row r="25" spans="1:19">
      <c r="A25" t="s">
        <v>32</v>
      </c>
      <c r="B25" t="str">
        <f>IFERROR(VLOOKUP(A25,'Total Ingredients'!I:N,3,FALSE)," ")</f>
        <v>lbs</v>
      </c>
      <c r="C25">
        <v>0.08</v>
      </c>
      <c r="D25">
        <f>C25*'Total Ingredients'!$B$6</f>
        <v>40</v>
      </c>
      <c r="E25" s="11">
        <f>VLOOKUP(A25,'Total Ingredients'!$I:$AA,7,FALSE)*C25</f>
        <v>0.24</v>
      </c>
      <c r="F25" s="32"/>
      <c r="G25" t="s">
        <v>48</v>
      </c>
      <c r="H25" t="str">
        <f>IFERROR(VLOOKUP(G25,'Total Ingredients'!I:N,3,FALSE)," ")</f>
        <v>fl oz</v>
      </c>
      <c r="I25" s="3">
        <v>4.1500000000000002E-2</v>
      </c>
      <c r="J25" s="3">
        <f ca="1">I25*'Total Ingredients'!$M$9</f>
        <v>4.1500000000000004</v>
      </c>
      <c r="K25" s="3">
        <f t="shared" ca="1" si="14"/>
        <v>8.3000000000000007</v>
      </c>
      <c r="L25" s="3">
        <f t="shared" ca="1" si="15"/>
        <v>0.51875000000000004</v>
      </c>
      <c r="M25" s="3">
        <f ca="1">J25*VLOOKUP(G25,'Spice Conversion'!A:J,7,FALSE)</f>
        <v>7.0550000000000006</v>
      </c>
      <c r="N25" s="1">
        <f>VLOOKUP(G25,'Total Ingredients'!I:O,7,FALSE)</f>
        <v>0.14609374999999999</v>
      </c>
      <c r="O25" s="38">
        <f t="shared" si="16"/>
        <v>6.0628906249999995E-4</v>
      </c>
      <c r="R25" s="16"/>
    </row>
    <row r="26" spans="1:19">
      <c r="A26" t="s">
        <v>425</v>
      </c>
      <c r="B26" t="str">
        <f>IFERROR(VLOOKUP(A26,'Total Ingredients'!I:N,3,FALSE)," ")</f>
        <v>fl oz</v>
      </c>
      <c r="C26">
        <v>0.03</v>
      </c>
      <c r="D26">
        <f>C26*'Total Ingredients'!$B$6</f>
        <v>15</v>
      </c>
      <c r="E26" s="11">
        <f>VLOOKUP(A26,'Total Ingredients'!$I:$AA,7,FALSE)*C26</f>
        <v>3.7499999999999999E-3</v>
      </c>
      <c r="F26" s="32"/>
      <c r="G26" t="s">
        <v>27</v>
      </c>
      <c r="H26" t="str">
        <f>IFERROR(VLOOKUP(G26,'Total Ingredients'!I:N,3,FALSE)," ")</f>
        <v>fl oz</v>
      </c>
      <c r="I26" s="3">
        <v>0.125</v>
      </c>
      <c r="J26" s="3">
        <f ca="1">I26*'Total Ingredients'!$M$9</f>
        <v>12.5</v>
      </c>
      <c r="K26" s="3">
        <f t="shared" ca="1" si="14"/>
        <v>25</v>
      </c>
      <c r="L26" s="3">
        <f t="shared" ca="1" si="15"/>
        <v>1.5625</v>
      </c>
      <c r="M26" s="3">
        <f ca="1">J26*VLOOKUP(G26,'Spice Conversion'!A:J,7,FALSE)</f>
        <v>46.875</v>
      </c>
      <c r="N26" s="1">
        <f>VLOOKUP(G26,'Total Ingredients'!I:O,7,FALSE)</f>
        <v>0.17578125</v>
      </c>
      <c r="O26" s="38">
        <f t="shared" si="16"/>
        <v>2.197265625E-3</v>
      </c>
      <c r="R26" s="41"/>
    </row>
    <row r="27" spans="1:19">
      <c r="A27" t="s">
        <v>426</v>
      </c>
      <c r="B27" t="str">
        <f>IFERROR(VLOOKUP(A27,'Total Ingredients'!I:N,3,FALSE)," ")</f>
        <v>lbs</v>
      </c>
      <c r="C27">
        <v>0.1</v>
      </c>
      <c r="D27">
        <f>C27*'Total Ingredients'!$B$6</f>
        <v>50</v>
      </c>
      <c r="E27" s="11">
        <f>VLOOKUP(A27,'Total Ingredients'!$I:$AA,7,FALSE)*C27</f>
        <v>0.2</v>
      </c>
      <c r="F27" s="32"/>
      <c r="G27" t="s">
        <v>49</v>
      </c>
      <c r="H27" t="str">
        <f>IFERROR(VLOOKUP(G27,'Total Ingredients'!I:N,3,FALSE)," ")</f>
        <v>fl oz</v>
      </c>
      <c r="I27" s="3">
        <v>8.3000000000000004E-2</v>
      </c>
      <c r="J27" s="3">
        <f ca="1">I27*'Total Ingredients'!$M$9</f>
        <v>8.3000000000000007</v>
      </c>
      <c r="K27" s="3">
        <f t="shared" ca="1" si="14"/>
        <v>16.600000000000001</v>
      </c>
      <c r="L27" s="3">
        <f t="shared" ca="1" si="15"/>
        <v>1.0375000000000001</v>
      </c>
      <c r="M27" s="3">
        <f ca="1">J27*VLOOKUP(G27,'Spice Conversion'!A:J,7,FALSE)</f>
        <v>14.193000000000001</v>
      </c>
      <c r="N27" s="1">
        <f>VLOOKUP(G27,'Total Ingredients'!I:O,7,FALSE)</f>
        <v>8.6835937500000002E-2</v>
      </c>
      <c r="O27" s="38">
        <f t="shared" si="16"/>
        <v>7.2073828125000002E-4</v>
      </c>
      <c r="R27" s="41"/>
    </row>
    <row r="28" spans="1:19">
      <c r="A28" t="s">
        <v>430</v>
      </c>
      <c r="B28" t="str">
        <f>IFERROR(VLOOKUP(A28,'Total Ingredients'!I:N,3,FALSE)," ")</f>
        <v>ea</v>
      </c>
      <c r="C28">
        <v>2.5000000000000001E-2</v>
      </c>
      <c r="D28">
        <f>C28*'Total Ingredients'!$B$6</f>
        <v>12.5</v>
      </c>
      <c r="E28" s="11">
        <f>VLOOKUP(A28,'Total Ingredients'!$I:$AA,7,FALSE)*C28</f>
        <v>2.5000000000000001E-2</v>
      </c>
      <c r="F28" s="32"/>
      <c r="G28" t="s">
        <v>26</v>
      </c>
      <c r="H28" t="str">
        <f>IFERROR(VLOOKUP(G28,'Total Ingredients'!I:N,3,FALSE)," ")</f>
        <v>fl oz</v>
      </c>
      <c r="I28" s="3">
        <v>6.225E-2</v>
      </c>
      <c r="J28" s="3">
        <f ca="1">I28*'Total Ingredients'!$M$9</f>
        <v>6.2249999999999996</v>
      </c>
      <c r="K28" s="3">
        <f t="shared" ca="1" si="14"/>
        <v>12.45</v>
      </c>
      <c r="L28" s="3">
        <f t="shared" ca="1" si="15"/>
        <v>0.77812499999999996</v>
      </c>
      <c r="M28" s="3">
        <f ca="1">J28*VLOOKUP(G28,'Spice Conversion'!A:J,7,FALSE)</f>
        <v>27.95025</v>
      </c>
      <c r="N28" s="1">
        <f>VLOOKUP(G28,'Total Ingredients'!I:O,7,FALSE)</f>
        <v>0.19643750000000001</v>
      </c>
      <c r="O28" s="38">
        <f t="shared" si="16"/>
        <v>1.2228234375000003E-3</v>
      </c>
      <c r="R28" s="41"/>
    </row>
    <row r="29" spans="1:19">
      <c r="A29" t="s">
        <v>40</v>
      </c>
      <c r="B29" t="str">
        <f>IFERROR(VLOOKUP(A29,'Total Ingredients'!I:N,3,FALSE)," ")</f>
        <v>fl oz</v>
      </c>
      <c r="C29">
        <v>0.5</v>
      </c>
      <c r="D29">
        <f>C29*'Total Ingredients'!$B$6</f>
        <v>250</v>
      </c>
      <c r="E29" s="11">
        <f>VLOOKUP(A29,'Total Ingredients'!$I:$AA,7,FALSE)*C29</f>
        <v>3.90625E-2</v>
      </c>
      <c r="F29" s="32"/>
      <c r="G29" t="s">
        <v>24</v>
      </c>
      <c r="H29" t="str">
        <f>IFERROR(VLOOKUP(G29,'Total Ingredients'!I:N,3,FALSE)," ")</f>
        <v>fl oz</v>
      </c>
      <c r="I29" s="3">
        <v>3.1125E-2</v>
      </c>
      <c r="J29" s="3">
        <f ca="1">I29*'Total Ingredients'!$M$9</f>
        <v>3.1124999999999998</v>
      </c>
      <c r="K29" s="3">
        <f t="shared" ca="1" si="14"/>
        <v>6.2249999999999996</v>
      </c>
      <c r="L29" s="3">
        <f t="shared" ca="1" si="15"/>
        <v>0.38906249999999998</v>
      </c>
      <c r="M29" s="3">
        <f ca="1">J29*VLOOKUP(G29,'Spice Conversion'!A:J,7,FALSE)</f>
        <v>27.172125000000001</v>
      </c>
      <c r="N29" s="1">
        <f>VLOOKUP(G29,'Total Ingredients'!I:O,7,FALSE)</f>
        <v>0.13640625000000001</v>
      </c>
      <c r="O29" s="38">
        <f t="shared" si="16"/>
        <v>4.2456445312500003E-4</v>
      </c>
      <c r="R29" s="41"/>
    </row>
    <row r="30" spans="1:19">
      <c r="A30" s="6" t="s">
        <v>238</v>
      </c>
      <c r="E30" s="14">
        <f>SUM(E31:E33)</f>
        <v>0.54875000000000007</v>
      </c>
      <c r="F30" s="32"/>
      <c r="G30" t="s">
        <v>28</v>
      </c>
      <c r="H30" t="str">
        <f>IFERROR(VLOOKUP(G30,'Total Ingredients'!I:N,3,FALSE)," ")</f>
        <v>fl oz</v>
      </c>
      <c r="I30" s="3">
        <v>2.0750000000000001E-2</v>
      </c>
      <c r="J30" s="3">
        <f ca="1">I30*'Total Ingredients'!$M$9</f>
        <v>2.0750000000000002</v>
      </c>
      <c r="K30" s="3">
        <f t="shared" ca="1" si="14"/>
        <v>4.1500000000000004</v>
      </c>
      <c r="L30" s="3">
        <f t="shared" ca="1" si="15"/>
        <v>0.25937500000000002</v>
      </c>
      <c r="M30" s="3">
        <f ca="1">J30*VLOOKUP(G30,'Spice Conversion'!A:J,7,FALSE)</f>
        <v>8.3000000000000007</v>
      </c>
      <c r="N30" s="1">
        <f>VLOOKUP(G30,'Total Ingredients'!I:O,7,FALSE)</f>
        <v>0.22500000000000001</v>
      </c>
      <c r="O30" s="38">
        <f t="shared" si="16"/>
        <v>4.66875E-4</v>
      </c>
      <c r="R30" s="41"/>
    </row>
    <row r="31" spans="1:19">
      <c r="A31" t="s">
        <v>0</v>
      </c>
      <c r="B31" t="str">
        <f>IFERROR(VLOOKUP(A31,'Total Ingredients'!I:N,3,FALSE)," ")</f>
        <v>ea</v>
      </c>
      <c r="C31">
        <v>1</v>
      </c>
      <c r="D31">
        <f>C31*'Total Ingredients'!$B$7</f>
        <v>500</v>
      </c>
      <c r="E31" s="11">
        <f>VLOOKUP(A31,'Total Ingredients'!$I:$AA,7,FALSE)*C31</f>
        <v>0.125</v>
      </c>
      <c r="F31" s="32"/>
      <c r="G31" t="s">
        <v>50</v>
      </c>
      <c r="H31" t="str">
        <f>IFERROR(VLOOKUP(G31,'Total Ingredients'!I:N,3,FALSE)," ")</f>
        <v>fl oz</v>
      </c>
      <c r="I31" s="3">
        <v>8.3000000000000004E-2</v>
      </c>
      <c r="J31" s="3">
        <f ca="1">I31*'Total Ingredients'!$M$9</f>
        <v>8.3000000000000007</v>
      </c>
      <c r="K31" s="3">
        <f t="shared" ca="1" si="14"/>
        <v>16.600000000000001</v>
      </c>
      <c r="L31" s="3">
        <f t="shared" ca="1" si="15"/>
        <v>1.0375000000000001</v>
      </c>
      <c r="M31" s="3">
        <f ca="1">J31*VLOOKUP(G31,'Spice Conversion'!A:J,7,FALSE)</f>
        <v>28.220000000000002</v>
      </c>
      <c r="N31" s="1">
        <f>VLOOKUP(G31,'Total Ingredients'!I:O,7,FALSE)</f>
        <v>1.1333333333333333</v>
      </c>
      <c r="O31" s="38">
        <f t="shared" si="16"/>
        <v>9.4066666666666673E-3</v>
      </c>
      <c r="R31" s="41"/>
    </row>
    <row r="32" spans="1:19">
      <c r="A32" t="s">
        <v>32</v>
      </c>
      <c r="B32" t="str">
        <f>IFERROR(VLOOKUP(A32,'Total Ingredients'!I:N,3,FALSE)," ")</f>
        <v>lbs</v>
      </c>
      <c r="C32">
        <v>0.14000000000000001</v>
      </c>
      <c r="D32">
        <f>C32*'Total Ingredients'!$B$7</f>
        <v>70</v>
      </c>
      <c r="E32" s="11">
        <f>VLOOKUP(A32,'Total Ingredients'!$I:$AA,7,FALSE)*C32</f>
        <v>0.42000000000000004</v>
      </c>
      <c r="F32" s="32"/>
      <c r="G32" t="s">
        <v>16</v>
      </c>
      <c r="H32" t="str">
        <f>IFERROR(VLOOKUP(G32,'Total Ingredients'!I:N,3,FALSE)," ")</f>
        <v>fl oz</v>
      </c>
      <c r="I32" s="3">
        <v>1</v>
      </c>
      <c r="J32" s="3">
        <f ca="1">I32*'Total Ingredients'!$M$9</f>
        <v>100</v>
      </c>
      <c r="K32" s="3">
        <f ca="1">J32*2</f>
        <v>200</v>
      </c>
      <c r="L32" s="3">
        <f t="shared" ca="1" si="15"/>
        <v>12.5</v>
      </c>
      <c r="M32" s="3"/>
      <c r="N32" s="1">
        <f>VLOOKUP(G32,'Total Ingredients'!I:O,7,FALSE)</f>
        <v>0.1171875</v>
      </c>
      <c r="O32" s="38">
        <f>$I32*$C$21*$N32</f>
        <v>1.171875E-2</v>
      </c>
      <c r="R32" s="41"/>
    </row>
    <row r="33" spans="1:18">
      <c r="A33" t="s">
        <v>425</v>
      </c>
      <c r="B33" t="str">
        <f>IFERROR(VLOOKUP(A33,'Total Ingredients'!I:N,3,FALSE)," ")</f>
        <v>fl oz</v>
      </c>
      <c r="C33">
        <v>0.03</v>
      </c>
      <c r="D33">
        <f>C33*'Total Ingredients'!$B$7</f>
        <v>15</v>
      </c>
      <c r="E33" s="11">
        <f>VLOOKUP(A33,'Total Ingredients'!$I:$AA,7,FALSE)*C33</f>
        <v>3.7499999999999999E-3</v>
      </c>
      <c r="F33" s="32"/>
      <c r="G33" t="s">
        <v>53</v>
      </c>
      <c r="R33" s="41"/>
    </row>
    <row r="34" spans="1:18" ht="16">
      <c r="F34" s="32"/>
      <c r="G34" s="7" t="s">
        <v>152</v>
      </c>
      <c r="N34" s="14">
        <f>SUM(N35:N44)</f>
        <v>4.0016305803571433</v>
      </c>
      <c r="O34" s="14">
        <f>SUM(O35:O44)</f>
        <v>1.8240622920386904E-2</v>
      </c>
    </row>
    <row r="35" spans="1:18">
      <c r="F35" s="32"/>
      <c r="G35" t="s">
        <v>108</v>
      </c>
      <c r="H35" t="str">
        <f>IFERROR(VLOOKUP(G35,'Total Ingredients'!I:N,3,FALSE)," ")</f>
        <v>fl oz</v>
      </c>
      <c r="I35" s="3">
        <v>0.5</v>
      </c>
      <c r="J35" s="3">
        <f ca="1">I35*'Total Ingredients'!$M$10</f>
        <v>0</v>
      </c>
      <c r="K35" s="3">
        <f ca="1">J35*2</f>
        <v>0</v>
      </c>
      <c r="L35" s="3">
        <f ca="1">J35/8</f>
        <v>0</v>
      </c>
      <c r="M35" s="3">
        <f ca="1">J35*VLOOKUP(G35,'Spice Conversion'!A:J,7,FALSE)</f>
        <v>0</v>
      </c>
      <c r="N35" s="1">
        <f>VLOOKUP(G35,'Total Ingredients'!I:O,7,FALSE)</f>
        <v>0.14892578125</v>
      </c>
      <c r="O35" s="38">
        <f t="shared" ref="O35:O52" si="17">$I35*$C$21*$N35</f>
        <v>7.4462890625E-3</v>
      </c>
    </row>
    <row r="36" spans="1:18">
      <c r="F36" s="32"/>
      <c r="G36" t="s">
        <v>24</v>
      </c>
      <c r="H36" t="str">
        <f>IFERROR(VLOOKUP(G36,'Total Ingredients'!I:N,3,FALSE)," ")</f>
        <v>fl oz</v>
      </c>
      <c r="I36" s="3">
        <v>0.12</v>
      </c>
      <c r="J36" s="3">
        <f ca="1">I36*'Total Ingredients'!$M$10</f>
        <v>0</v>
      </c>
      <c r="K36" s="3">
        <f t="shared" ref="K36:K52" ca="1" si="18">J36*2</f>
        <v>0</v>
      </c>
      <c r="L36" s="3">
        <f t="shared" ref="L36:L42" ca="1" si="19">J36/8</f>
        <v>0</v>
      </c>
      <c r="M36" s="3">
        <f ca="1">J36*VLOOKUP(G36,'Spice Conversion'!A:J,7,FALSE)</f>
        <v>0</v>
      </c>
      <c r="N36" s="1">
        <f>VLOOKUP(G36,'Total Ingredients'!I:O,7,FALSE)</f>
        <v>0.13640625000000001</v>
      </c>
      <c r="O36" s="38">
        <f t="shared" si="17"/>
        <v>1.6368750000000001E-3</v>
      </c>
    </row>
    <row r="37" spans="1:18">
      <c r="F37" s="32"/>
      <c r="G37" t="s">
        <v>28</v>
      </c>
      <c r="H37" t="str">
        <f>IFERROR(VLOOKUP(G37,'Total Ingredients'!I:N,3,FALSE)," ")</f>
        <v>fl oz</v>
      </c>
      <c r="I37" s="3">
        <v>8.3000000000000004E-2</v>
      </c>
      <c r="J37" s="3">
        <f ca="1">I37*'Total Ingredients'!$M$10</f>
        <v>0</v>
      </c>
      <c r="K37" s="3">
        <f t="shared" ca="1" si="18"/>
        <v>0</v>
      </c>
      <c r="L37" s="3">
        <f t="shared" ca="1" si="19"/>
        <v>0</v>
      </c>
      <c r="M37" s="3">
        <f ca="1">J37*VLOOKUP(G37,'Spice Conversion'!A:J,7,FALSE)</f>
        <v>0</v>
      </c>
      <c r="N37" s="1">
        <f>VLOOKUP(G37,'Total Ingredients'!I:O,7,FALSE)</f>
        <v>0.22500000000000001</v>
      </c>
      <c r="O37" s="38">
        <f t="shared" si="17"/>
        <v>1.8675E-3</v>
      </c>
      <c r="R37">
        <f>3/4</f>
        <v>0.75</v>
      </c>
    </row>
    <row r="38" spans="1:18">
      <c r="F38" s="32"/>
      <c r="G38" t="s">
        <v>153</v>
      </c>
      <c r="H38" t="str">
        <f>IFERROR(VLOOKUP(G38,'Total Ingredients'!I:N,3,FALSE)," ")</f>
        <v>fl oz</v>
      </c>
      <c r="I38" s="3">
        <v>4.1500000000000002E-2</v>
      </c>
      <c r="J38" s="3">
        <f ca="1">I38*'Total Ingredients'!$M$10</f>
        <v>0</v>
      </c>
      <c r="K38" s="3">
        <f t="shared" ca="1" si="18"/>
        <v>0</v>
      </c>
      <c r="L38" s="3">
        <f t="shared" ca="1" si="19"/>
        <v>0</v>
      </c>
      <c r="M38" s="3">
        <f ca="1">J38*VLOOKUP(G38,'Spice Conversion'!A:J,7,FALSE)</f>
        <v>0</v>
      </c>
      <c r="N38" s="1">
        <f>VLOOKUP(G38,'Total Ingredients'!I:O,7,FALSE)</f>
        <v>0.16697916666666668</v>
      </c>
      <c r="O38" s="38">
        <f t="shared" si="17"/>
        <v>6.9296354166666671E-4</v>
      </c>
      <c r="R38">
        <f>0.25/4</f>
        <v>6.25E-2</v>
      </c>
    </row>
    <row r="39" spans="1:18">
      <c r="F39" s="32"/>
      <c r="G39" t="s">
        <v>154</v>
      </c>
      <c r="H39" t="str">
        <f>IFERROR(VLOOKUP(G39,'Total Ingredients'!I:N,3,FALSE)," ")</f>
        <v>fl oz</v>
      </c>
      <c r="I39" s="3">
        <v>4.1500000000000002E-2</v>
      </c>
      <c r="J39" s="3">
        <f ca="1">I39*'Total Ingredients'!$M$10</f>
        <v>0</v>
      </c>
      <c r="K39" s="3">
        <f t="shared" ca="1" si="18"/>
        <v>0</v>
      </c>
      <c r="L39" s="3">
        <f t="shared" ca="1" si="19"/>
        <v>0</v>
      </c>
      <c r="M39" s="3">
        <f ca="1">J39*VLOOKUP(G39,'Spice Conversion'!A:J,7,FALSE)</f>
        <v>0</v>
      </c>
      <c r="N39" s="1">
        <f>VLOOKUP(G39,'Total Ingredients'!I:O,7,FALSE)</f>
        <v>0.23585000000000003</v>
      </c>
      <c r="O39" s="38">
        <f t="shared" si="17"/>
        <v>9.7877750000000007E-4</v>
      </c>
    </row>
    <row r="40" spans="1:18">
      <c r="F40" s="32"/>
      <c r="G40" t="s">
        <v>155</v>
      </c>
      <c r="H40" t="str">
        <f>IFERROR(VLOOKUP(G40,'Total Ingredients'!I:N,3,FALSE)," ")</f>
        <v>fl oz</v>
      </c>
      <c r="I40" s="3">
        <v>8.3000000000000004E-2</v>
      </c>
      <c r="J40" s="3">
        <f ca="1">I40*'Total Ingredients'!$M$10</f>
        <v>0</v>
      </c>
      <c r="K40" s="3">
        <f t="shared" ca="1" si="18"/>
        <v>0</v>
      </c>
      <c r="L40" s="3">
        <f t="shared" ca="1" si="19"/>
        <v>0</v>
      </c>
      <c r="M40" s="3">
        <f ca="1">J40*VLOOKUP(G40,'Spice Conversion'!A:J,7,FALSE)</f>
        <v>0</v>
      </c>
      <c r="N40" s="1">
        <f>VLOOKUP(G40,'Total Ingredients'!I:O,7,FALSE)</f>
        <v>9.9083333333333315E-2</v>
      </c>
      <c r="O40" s="38">
        <f t="shared" si="17"/>
        <v>8.2239166666666654E-4</v>
      </c>
    </row>
    <row r="41" spans="1:18">
      <c r="F41" s="32"/>
      <c r="G41" t="s">
        <v>156</v>
      </c>
      <c r="H41" t="str">
        <f>IFERROR(VLOOKUP(G41,'Total Ingredients'!I:N,3,FALSE)," ")</f>
        <v>fl oz</v>
      </c>
      <c r="I41" s="3">
        <v>2.0750000000000001E-2</v>
      </c>
      <c r="J41" s="3">
        <f ca="1">I41*'Total Ingredients'!$M$10</f>
        <v>0</v>
      </c>
      <c r="K41" s="3">
        <f t="shared" ca="1" si="18"/>
        <v>0</v>
      </c>
      <c r="L41" s="3">
        <f t="shared" ca="1" si="19"/>
        <v>0</v>
      </c>
      <c r="M41" s="3">
        <f ca="1">J41*VLOOKUP(G41,'Spice Conversion'!A:J,7,FALSE)</f>
        <v>0</v>
      </c>
      <c r="N41" s="1">
        <f>VLOOKUP(G41,'Total Ingredients'!I:O,7,FALSE)</f>
        <v>0.26261249999999997</v>
      </c>
      <c r="O41" s="38">
        <f t="shared" si="17"/>
        <v>5.4492093749999989E-4</v>
      </c>
    </row>
    <row r="42" spans="1:18">
      <c r="F42" s="32"/>
      <c r="G42" t="s">
        <v>157</v>
      </c>
      <c r="H42" t="str">
        <f>IFERROR(VLOOKUP(G42,'Total Ingredients'!I:N,3,FALSE)," ")</f>
        <v>fl oz</v>
      </c>
      <c r="I42" s="3">
        <v>2.0750000000000001E-2</v>
      </c>
      <c r="J42" s="3">
        <f ca="1">I42*'Total Ingredients'!$M$10</f>
        <v>0</v>
      </c>
      <c r="K42" s="3">
        <f t="shared" ca="1" si="18"/>
        <v>0</v>
      </c>
      <c r="L42" s="3">
        <f t="shared" ca="1" si="19"/>
        <v>0</v>
      </c>
      <c r="M42" s="3">
        <f ca="1">J42*VLOOKUP(G42,'Spice Conversion'!A:J,7,FALSE)</f>
        <v>0</v>
      </c>
      <c r="N42" s="1">
        <f>VLOOKUP(G42,'Total Ingredients'!I:O,7,FALSE)</f>
        <v>0.46077187500000005</v>
      </c>
      <c r="O42" s="38">
        <f t="shared" si="17"/>
        <v>9.561016406250001E-4</v>
      </c>
    </row>
    <row r="43" spans="1:18">
      <c r="F43" s="32"/>
      <c r="G43" t="s">
        <v>158</v>
      </c>
      <c r="H43" t="str">
        <f>IFERROR(VLOOKUP(G43,'Total Ingredients'!I:N,3,FALSE)," ")</f>
        <v>fl oz</v>
      </c>
      <c r="I43" s="3">
        <v>0.16600000000000001</v>
      </c>
      <c r="J43" s="3">
        <f ca="1">I43*'Total Ingredients'!$M$10</f>
        <v>0</v>
      </c>
      <c r="K43" s="3">
        <f t="shared" ca="1" si="18"/>
        <v>0</v>
      </c>
      <c r="L43" s="3">
        <f t="shared" ref="L43" ca="1" si="20">J43/8</f>
        <v>0</v>
      </c>
      <c r="M43" s="3">
        <f ca="1">J43*VLOOKUP(G43,'Spice Conversion'!A:J,7,FALSE)</f>
        <v>0</v>
      </c>
      <c r="N43" s="1">
        <f>VLOOKUP(G43,'Total Ingredients'!I:O,7,FALSE)</f>
        <v>0.19848214285714286</v>
      </c>
      <c r="O43" s="38">
        <f t="shared" si="17"/>
        <v>3.2948035714285714E-3</v>
      </c>
    </row>
    <row r="44" spans="1:18" ht="16">
      <c r="F44" s="32"/>
      <c r="G44" s="7" t="s">
        <v>402</v>
      </c>
      <c r="N44" s="14">
        <f>SUM(N45:N54)</f>
        <v>2.0675195312500003</v>
      </c>
      <c r="O44" s="14">
        <f>SUM(O45:O54)</f>
        <v>0</v>
      </c>
    </row>
    <row r="45" spans="1:18">
      <c r="F45" s="32"/>
      <c r="G45" t="s">
        <v>403</v>
      </c>
      <c r="H45" t="str">
        <f>IFERROR(VLOOKUP(G45,'Total Ingredients'!I:N,3,FALSE)," ")</f>
        <v>fl oz</v>
      </c>
      <c r="J45" s="85">
        <f ca="1">I45*'Total Ingredients'!$M$8</f>
        <v>0</v>
      </c>
      <c r="K45" s="3">
        <f t="shared" ca="1" si="18"/>
        <v>0</v>
      </c>
      <c r="L45" s="3">
        <f t="shared" ref="L45:L52" ca="1" si="21">J45/8</f>
        <v>0</v>
      </c>
      <c r="M45" s="3" t="e">
        <f ca="1">J45*VLOOKUP(G45,'Spice Conversion'!A:J,7,FALSE)</f>
        <v>#N/A</v>
      </c>
      <c r="N45" s="1">
        <f>VLOOKUP(G45,'Total Ingredients'!I:O,7,FALSE)</f>
        <v>4.6875E-2</v>
      </c>
      <c r="O45" s="38">
        <f t="shared" si="17"/>
        <v>0</v>
      </c>
    </row>
    <row r="46" spans="1:18">
      <c r="F46" s="32"/>
      <c r="G46" t="s">
        <v>404</v>
      </c>
      <c r="H46" t="str">
        <f>IFERROR(VLOOKUP(G46,'Total Ingredients'!I:N,3,FALSE)," ")</f>
        <v>ea</v>
      </c>
      <c r="J46" s="85">
        <f ca="1">I46*'Total Ingredients'!$M$8</f>
        <v>0</v>
      </c>
      <c r="K46" s="3">
        <f t="shared" ca="1" si="18"/>
        <v>0</v>
      </c>
      <c r="L46" s="3">
        <f t="shared" ca="1" si="21"/>
        <v>0</v>
      </c>
      <c r="M46" s="3" t="e">
        <f ca="1">J46*VLOOKUP(G46,'Spice Conversion'!A:J,7,FALSE)</f>
        <v>#N/A</v>
      </c>
      <c r="N46" s="1">
        <f>VLOOKUP(G46,'Total Ingredients'!I:O,7,FALSE)</f>
        <v>1</v>
      </c>
      <c r="O46" s="38">
        <f t="shared" si="17"/>
        <v>0</v>
      </c>
    </row>
    <row r="47" spans="1:18">
      <c r="F47" s="32"/>
      <c r="G47" t="s">
        <v>405</v>
      </c>
      <c r="H47" t="str">
        <f>IFERROR(VLOOKUP(G47,'Total Ingredients'!I:N,3,FALSE)," ")</f>
        <v>oz</v>
      </c>
      <c r="J47" s="85">
        <f ca="1">I47*'Total Ingredients'!$M$8</f>
        <v>0</v>
      </c>
      <c r="K47" s="3">
        <f t="shared" ca="1" si="18"/>
        <v>0</v>
      </c>
      <c r="L47" s="3">
        <f t="shared" ca="1" si="21"/>
        <v>0</v>
      </c>
      <c r="M47" s="3" t="e">
        <f ca="1">J47*VLOOKUP(G47,'Spice Conversion'!A:J,7,FALSE)</f>
        <v>#N/A</v>
      </c>
      <c r="N47" s="1">
        <f>VLOOKUP(G47,'Total Ingredients'!I:O,7,FALSE)</f>
        <v>0.375</v>
      </c>
      <c r="O47" s="38">
        <f t="shared" si="17"/>
        <v>0</v>
      </c>
    </row>
    <row r="48" spans="1:18">
      <c r="F48" s="32"/>
      <c r="G48" t="s">
        <v>23</v>
      </c>
      <c r="H48" t="str">
        <f>IFERROR(VLOOKUP(G48,'Total Ingredients'!I:N,3,FALSE)," ")</f>
        <v>fl oz</v>
      </c>
      <c r="J48" s="85">
        <f ca="1">I48*'Total Ingredients'!$M$8</f>
        <v>0</v>
      </c>
      <c r="K48" s="3">
        <f t="shared" ca="1" si="18"/>
        <v>0</v>
      </c>
      <c r="L48" s="3">
        <f t="shared" ca="1" si="21"/>
        <v>0</v>
      </c>
      <c r="M48" s="3">
        <f ca="1">J48*VLOOKUP(G48,'Spice Conversion'!A:J,7,FALSE)</f>
        <v>0</v>
      </c>
      <c r="N48" s="1">
        <f>VLOOKUP(G48,'Total Ingredients'!I:O,7,FALSE)</f>
        <v>0.1603125</v>
      </c>
      <c r="O48" s="38">
        <f t="shared" si="17"/>
        <v>0</v>
      </c>
    </row>
    <row r="49" spans="6:15">
      <c r="F49" s="32"/>
      <c r="G49" t="s">
        <v>406</v>
      </c>
      <c r="H49" t="str">
        <f>IFERROR(VLOOKUP(G49,'Total Ingredients'!I:N,3,FALSE)," ")</f>
        <v>fl oz</v>
      </c>
      <c r="J49" s="85">
        <f ca="1">I49*'Total Ingredients'!$M$8</f>
        <v>0</v>
      </c>
      <c r="K49" s="3">
        <f t="shared" ca="1" si="18"/>
        <v>0</v>
      </c>
      <c r="L49" s="3">
        <f t="shared" ca="1" si="21"/>
        <v>0</v>
      </c>
      <c r="M49" s="3" t="e">
        <f ca="1">J49*VLOOKUP(G49,'Spice Conversion'!A:J,7,FALSE)</f>
        <v>#N/A</v>
      </c>
      <c r="N49" s="1">
        <f>VLOOKUP(G49,'Total Ingredients'!I:O,7,FALSE)</f>
        <v>9.9999999999999992E-2</v>
      </c>
      <c r="O49" s="38">
        <f t="shared" si="17"/>
        <v>0</v>
      </c>
    </row>
    <row r="50" spans="6:15">
      <c r="F50" s="32"/>
      <c r="G50" t="s">
        <v>108</v>
      </c>
      <c r="H50" t="str">
        <f>IFERROR(VLOOKUP(G50,'Total Ingredients'!I:N,3,FALSE)," ")</f>
        <v>fl oz</v>
      </c>
      <c r="J50" s="85">
        <f ca="1">I50*'Total Ingredients'!$M$8</f>
        <v>0</v>
      </c>
      <c r="K50" s="3">
        <f t="shared" ca="1" si="18"/>
        <v>0</v>
      </c>
      <c r="L50" s="3">
        <f t="shared" ca="1" si="21"/>
        <v>0</v>
      </c>
      <c r="M50" s="3">
        <f ca="1">J50*VLOOKUP(G50,'Spice Conversion'!A:J,7,FALSE)</f>
        <v>0</v>
      </c>
      <c r="N50" s="1">
        <f>VLOOKUP(G50,'Total Ingredients'!I:O,7,FALSE)</f>
        <v>0.14892578125</v>
      </c>
      <c r="O50" s="38">
        <f t="shared" si="17"/>
        <v>0</v>
      </c>
    </row>
    <row r="51" spans="6:15">
      <c r="F51" s="32"/>
      <c r="G51" t="s">
        <v>24</v>
      </c>
      <c r="H51" t="str">
        <f>IFERROR(VLOOKUP(G51,'Total Ingredients'!I:N,3,FALSE)," ")</f>
        <v>fl oz</v>
      </c>
      <c r="J51" s="85">
        <f ca="1">I51*'Total Ingredients'!$M$8</f>
        <v>0</v>
      </c>
      <c r="K51" s="3">
        <f t="shared" ca="1" si="18"/>
        <v>0</v>
      </c>
      <c r="L51" s="3">
        <f t="shared" ca="1" si="21"/>
        <v>0</v>
      </c>
      <c r="M51" s="3">
        <f ca="1">J51*VLOOKUP(G51,'Spice Conversion'!A:J,7,FALSE)</f>
        <v>0</v>
      </c>
      <c r="N51" s="1">
        <f>VLOOKUP(G51,'Total Ingredients'!I:O,7,FALSE)</f>
        <v>0.13640625000000001</v>
      </c>
      <c r="O51" s="38">
        <f t="shared" si="17"/>
        <v>0</v>
      </c>
    </row>
    <row r="52" spans="6:15">
      <c r="F52" s="32"/>
      <c r="G52" t="s">
        <v>420</v>
      </c>
      <c r="H52" t="str">
        <f>IFERROR(VLOOKUP(G52,'Total Ingredients'!I:N,3,FALSE)," ")</f>
        <v>oz</v>
      </c>
      <c r="J52" s="85">
        <f ca="1">I52*'Total Ingredients'!$M$8</f>
        <v>0</v>
      </c>
      <c r="K52" s="3">
        <f t="shared" ca="1" si="18"/>
        <v>0</v>
      </c>
      <c r="L52" s="3">
        <f t="shared" ca="1" si="21"/>
        <v>0</v>
      </c>
      <c r="M52" s="3" t="e">
        <f ca="1">J52*VLOOKUP(G52,'Spice Conversion'!A:J,7,FALSE)</f>
        <v>#N/A</v>
      </c>
      <c r="N52" s="1">
        <f>VLOOKUP(G52,'Total Ingredients'!I:O,7,FALSE)</f>
        <v>0.1</v>
      </c>
      <c r="O52" s="38">
        <f t="shared" si="17"/>
        <v>0</v>
      </c>
    </row>
    <row r="53" spans="6:15">
      <c r="F53" s="32"/>
    </row>
    <row r="54" spans="6:15">
      <c r="F54" s="32"/>
    </row>
    <row r="55" spans="6:15">
      <c r="F55" s="32"/>
    </row>
    <row r="56" spans="6:15">
      <c r="F56" s="32"/>
    </row>
    <row r="57" spans="6:15">
      <c r="F57" s="32"/>
    </row>
    <row r="58" spans="6:15">
      <c r="F58" s="32"/>
    </row>
    <row r="59" spans="6:15">
      <c r="F59" s="32"/>
    </row>
    <row r="60" spans="6:15">
      <c r="F60" s="32"/>
    </row>
    <row r="61" spans="6:15">
      <c r="F61" s="32"/>
    </row>
    <row r="62" spans="6:15">
      <c r="F62" s="32"/>
    </row>
    <row r="63" spans="6:15">
      <c r="F63" s="32"/>
    </row>
    <row r="64" spans="6:15">
      <c r="F64" s="32"/>
    </row>
    <row r="65" spans="6:6">
      <c r="F65" s="32"/>
    </row>
    <row r="66" spans="6:6">
      <c r="F66" s="32"/>
    </row>
    <row r="67" spans="6:6">
      <c r="F67" s="32"/>
    </row>
    <row r="68" spans="6:6">
      <c r="F68" s="32"/>
    </row>
    <row r="69" spans="6:6">
      <c r="F69" s="32"/>
    </row>
    <row r="70" spans="6:6">
      <c r="F70" s="32"/>
    </row>
    <row r="71" spans="6:6">
      <c r="F71" s="32"/>
    </row>
    <row r="72" spans="6:6">
      <c r="F72" s="32"/>
    </row>
    <row r="73" spans="6:6">
      <c r="F73" s="32"/>
    </row>
    <row r="74" spans="6:6">
      <c r="F74" s="32"/>
    </row>
    <row r="75" spans="6:6">
      <c r="F75" s="32"/>
    </row>
    <row r="76" spans="6:6">
      <c r="F76" s="32"/>
    </row>
    <row r="77" spans="6:6">
      <c r="F77" s="32"/>
    </row>
    <row r="78" spans="6:6">
      <c r="F78" s="32"/>
    </row>
    <row r="79" spans="6:6">
      <c r="F79" s="32"/>
    </row>
    <row r="80" spans="6:6">
      <c r="F80" s="32"/>
    </row>
    <row r="81" spans="6:6">
      <c r="F81" s="32"/>
    </row>
    <row r="82" spans="6:6">
      <c r="F82" s="32"/>
    </row>
    <row r="83" spans="6:6">
      <c r="F83" s="32"/>
    </row>
    <row r="84" spans="6:6">
      <c r="F84" s="32"/>
    </row>
    <row r="85" spans="6:6">
      <c r="F85" s="32"/>
    </row>
    <row r="86" spans="6:6">
      <c r="F86" s="32"/>
    </row>
    <row r="87" spans="6:6">
      <c r="F87" s="32"/>
    </row>
    <row r="88" spans="6:6">
      <c r="F88" s="32"/>
    </row>
    <row r="89" spans="6:6">
      <c r="F89" s="32"/>
    </row>
    <row r="90" spans="6:6">
      <c r="F90" s="32"/>
    </row>
    <row r="91" spans="6:6">
      <c r="F91" s="32"/>
    </row>
    <row r="92" spans="6:6">
      <c r="F92" s="32"/>
    </row>
    <row r="93" spans="6:6">
      <c r="F93" s="32"/>
    </row>
    <row r="94" spans="6:6">
      <c r="F94" s="32"/>
    </row>
    <row r="95" spans="6:6">
      <c r="F95" s="32"/>
    </row>
    <row r="96" spans="6:6">
      <c r="F96" s="32"/>
    </row>
    <row r="97" spans="6:6">
      <c r="F97" s="32"/>
    </row>
    <row r="98" spans="6:6">
      <c r="F98" s="32"/>
    </row>
    <row r="99" spans="6:6">
      <c r="F99" s="32"/>
    </row>
    <row r="100" spans="6:6">
      <c r="F100" s="32"/>
    </row>
    <row r="101" spans="6:6">
      <c r="F101" s="32"/>
    </row>
    <row r="102" spans="6:6">
      <c r="F102" s="32"/>
    </row>
    <row r="103" spans="6:6">
      <c r="F103" s="32"/>
    </row>
    <row r="104" spans="6:6">
      <c r="F104" s="32"/>
    </row>
    <row r="105" spans="6:6">
      <c r="F105" s="32"/>
    </row>
    <row r="106" spans="6:6">
      <c r="F106" s="32"/>
    </row>
    <row r="107" spans="6:6">
      <c r="F107" s="32"/>
    </row>
    <row r="108" spans="6:6">
      <c r="F108" s="32"/>
    </row>
    <row r="109" spans="6:6">
      <c r="F109" s="32"/>
    </row>
    <row r="110" spans="6:6">
      <c r="F110" s="32"/>
    </row>
    <row r="111" spans="6:6">
      <c r="F111" s="32"/>
    </row>
    <row r="112" spans="6:6">
      <c r="F112" s="32"/>
    </row>
    <row r="113" spans="6:6">
      <c r="F113" s="32"/>
    </row>
    <row r="114" spans="6:6">
      <c r="F114" s="32"/>
    </row>
    <row r="115" spans="6:6">
      <c r="F115" s="32"/>
    </row>
    <row r="116" spans="6:6">
      <c r="F116" s="32"/>
    </row>
    <row r="117" spans="6:6">
      <c r="F117" s="32"/>
    </row>
    <row r="118" spans="6:6">
      <c r="F118" s="32"/>
    </row>
    <row r="119" spans="6:6">
      <c r="F119" s="32"/>
    </row>
    <row r="120" spans="6:6">
      <c r="F120" s="32"/>
    </row>
    <row r="121" spans="6:6">
      <c r="F121" s="32"/>
    </row>
    <row r="122" spans="6:6">
      <c r="F122" s="32"/>
    </row>
    <row r="123" spans="6:6">
      <c r="F123" s="32"/>
    </row>
    <row r="124" spans="6:6">
      <c r="F124" s="32"/>
    </row>
    <row r="125" spans="6:6">
      <c r="F125" s="32"/>
    </row>
    <row r="126" spans="6:6">
      <c r="F126" s="32"/>
    </row>
    <row r="127" spans="6:6">
      <c r="F127" s="32"/>
    </row>
    <row r="128" spans="6:6">
      <c r="F128" s="32"/>
    </row>
    <row r="129" spans="6:6">
      <c r="F129" s="32"/>
    </row>
    <row r="130" spans="6:6">
      <c r="F130" s="32"/>
    </row>
    <row r="131" spans="6:6">
      <c r="F131" s="32"/>
    </row>
    <row r="132" spans="6:6">
      <c r="F132" s="32"/>
    </row>
    <row r="133" spans="6:6">
      <c r="F133" s="32"/>
    </row>
    <row r="134" spans="6:6">
      <c r="F134" s="32"/>
    </row>
    <row r="135" spans="6:6">
      <c r="F135" s="32"/>
    </row>
    <row r="136" spans="6:6">
      <c r="F136" s="32"/>
    </row>
    <row r="137" spans="6:6">
      <c r="F137" s="32"/>
    </row>
    <row r="138" spans="6:6">
      <c r="F138" s="32"/>
    </row>
    <row r="139" spans="6:6">
      <c r="F139" s="32"/>
    </row>
    <row r="140" spans="6:6">
      <c r="F140" s="32"/>
    </row>
    <row r="141" spans="6:6">
      <c r="F141" s="32"/>
    </row>
    <row r="142" spans="6:6">
      <c r="F142" s="32"/>
    </row>
    <row r="143" spans="6:6">
      <c r="F143" s="32"/>
    </row>
    <row r="144" spans="6:6">
      <c r="F144" s="32"/>
    </row>
    <row r="145" spans="6:6">
      <c r="F145" s="32"/>
    </row>
    <row r="146" spans="6:6">
      <c r="F146" s="32"/>
    </row>
    <row r="147" spans="6:6">
      <c r="F147" s="32"/>
    </row>
    <row r="148" spans="6:6">
      <c r="F148" s="32"/>
    </row>
    <row r="149" spans="6:6">
      <c r="F149" s="32"/>
    </row>
    <row r="150" spans="6:6">
      <c r="F150" s="32"/>
    </row>
    <row r="151" spans="6:6">
      <c r="F151" s="32"/>
    </row>
    <row r="152" spans="6:6">
      <c r="F152" s="32"/>
    </row>
    <row r="153" spans="6:6">
      <c r="F153" s="32"/>
    </row>
    <row r="154" spans="6:6">
      <c r="F154" s="32"/>
    </row>
    <row r="155" spans="6:6">
      <c r="F155" s="32"/>
    </row>
    <row r="156" spans="6:6">
      <c r="F156" s="32"/>
    </row>
    <row r="157" spans="6:6">
      <c r="F157" s="32"/>
    </row>
    <row r="158" spans="6:6">
      <c r="F158" s="32"/>
    </row>
    <row r="159" spans="6:6">
      <c r="F159" s="32"/>
    </row>
    <row r="160" spans="6:6">
      <c r="F160" s="32"/>
    </row>
    <row r="161" spans="6:6">
      <c r="F161" s="32"/>
    </row>
    <row r="162" spans="6:6">
      <c r="F162" s="32"/>
    </row>
    <row r="163" spans="6:6">
      <c r="F163" s="32"/>
    </row>
    <row r="164" spans="6:6">
      <c r="F164" s="32"/>
    </row>
    <row r="165" spans="6:6">
      <c r="F165" s="32"/>
    </row>
    <row r="166" spans="6:6">
      <c r="F166" s="32"/>
    </row>
    <row r="167" spans="6:6">
      <c r="F167" s="32"/>
    </row>
    <row r="168" spans="6:6">
      <c r="F168" s="32"/>
    </row>
    <row r="169" spans="6:6">
      <c r="F169" s="32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D414-EE3B-F44E-8FCD-D28A94E5B943}">
  <dimension ref="A1:G75"/>
  <sheetViews>
    <sheetView workbookViewId="0">
      <pane ySplit="1" topLeftCell="A2" activePane="bottomLeft" state="frozen"/>
      <selection pane="bottomLeft" activeCell="E11" sqref="E11"/>
    </sheetView>
  </sheetViews>
  <sheetFormatPr baseColWidth="10" defaultRowHeight="15"/>
  <cols>
    <col min="1" max="1" width="15.83203125" customWidth="1"/>
    <col min="2" max="2" width="78.33203125" bestFit="1" customWidth="1"/>
    <col min="3" max="3" width="16.5" customWidth="1"/>
    <col min="5" max="5" width="68.6640625" customWidth="1"/>
    <col min="6" max="6" width="23.33203125" customWidth="1"/>
  </cols>
  <sheetData>
    <row r="1" spans="1:7" s="122" customFormat="1" ht="19">
      <c r="A1" s="121" t="s">
        <v>379</v>
      </c>
      <c r="B1" s="121" t="s">
        <v>380</v>
      </c>
      <c r="C1" s="121" t="s">
        <v>381</v>
      </c>
    </row>
    <row r="2" spans="1:7" ht="17">
      <c r="A2" t="s">
        <v>384</v>
      </c>
      <c r="B2" t="s">
        <v>132</v>
      </c>
      <c r="C2" t="s">
        <v>382</v>
      </c>
      <c r="E2" s="43" t="s">
        <v>409</v>
      </c>
    </row>
    <row r="3" spans="1:7" ht="17">
      <c r="A3" t="s">
        <v>384</v>
      </c>
      <c r="B3" t="s">
        <v>133</v>
      </c>
      <c r="C3" t="s">
        <v>383</v>
      </c>
      <c r="E3" s="43" t="s">
        <v>410</v>
      </c>
      <c r="F3" t="s">
        <v>416</v>
      </c>
      <c r="G3" t="s">
        <v>417</v>
      </c>
    </row>
    <row r="4" spans="1:7" ht="17">
      <c r="A4" t="s">
        <v>384</v>
      </c>
      <c r="B4" t="s">
        <v>134</v>
      </c>
      <c r="C4" t="s">
        <v>383</v>
      </c>
      <c r="E4" s="43" t="s">
        <v>411</v>
      </c>
    </row>
    <row r="5" spans="1:7" ht="17">
      <c r="A5" t="s">
        <v>384</v>
      </c>
      <c r="B5" t="s">
        <v>135</v>
      </c>
      <c r="C5" t="s">
        <v>383</v>
      </c>
      <c r="E5" s="43" t="s">
        <v>412</v>
      </c>
      <c r="F5" t="s">
        <v>418</v>
      </c>
    </row>
    <row r="6" spans="1:7" ht="17">
      <c r="A6" t="s">
        <v>384</v>
      </c>
      <c r="B6" t="s">
        <v>136</v>
      </c>
      <c r="C6" t="s">
        <v>383</v>
      </c>
      <c r="E6" s="43" t="s">
        <v>413</v>
      </c>
      <c r="F6" t="s">
        <v>419</v>
      </c>
    </row>
    <row r="7" spans="1:7" ht="17">
      <c r="A7" t="s">
        <v>384</v>
      </c>
      <c r="B7" t="s">
        <v>272</v>
      </c>
      <c r="C7" t="s">
        <v>383</v>
      </c>
      <c r="E7" s="43" t="s">
        <v>414</v>
      </c>
    </row>
    <row r="8" spans="1:7" ht="17">
      <c r="A8" t="s">
        <v>384</v>
      </c>
      <c r="B8" t="s">
        <v>137</v>
      </c>
      <c r="C8" t="s">
        <v>383</v>
      </c>
      <c r="E8" s="43" t="s">
        <v>415</v>
      </c>
    </row>
    <row r="9" spans="1:7">
      <c r="A9" t="s">
        <v>384</v>
      </c>
      <c r="B9" t="s">
        <v>368</v>
      </c>
      <c r="C9" t="s">
        <v>383</v>
      </c>
    </row>
    <row r="10" spans="1:7">
      <c r="A10" t="s">
        <v>384</v>
      </c>
      <c r="B10" t="s">
        <v>268</v>
      </c>
      <c r="C10" t="s">
        <v>383</v>
      </c>
    </row>
    <row r="11" spans="1:7">
      <c r="A11" t="s">
        <v>384</v>
      </c>
      <c r="B11" t="s">
        <v>138</v>
      </c>
      <c r="C11" t="s">
        <v>383</v>
      </c>
    </row>
    <row r="12" spans="1:7">
      <c r="A12" t="s">
        <v>384</v>
      </c>
      <c r="B12" t="s">
        <v>374</v>
      </c>
      <c r="C12" t="s">
        <v>383</v>
      </c>
    </row>
    <row r="13" spans="1:7">
      <c r="A13" t="s">
        <v>384</v>
      </c>
      <c r="B13" t="s">
        <v>375</v>
      </c>
      <c r="C13" t="s">
        <v>383</v>
      </c>
    </row>
    <row r="14" spans="1:7">
      <c r="A14" t="s">
        <v>384</v>
      </c>
      <c r="B14" t="s">
        <v>273</v>
      </c>
      <c r="C14" t="s">
        <v>383</v>
      </c>
    </row>
    <row r="15" spans="1:7">
      <c r="A15" t="s">
        <v>384</v>
      </c>
      <c r="B15" t="s">
        <v>139</v>
      </c>
      <c r="C15" t="s">
        <v>383</v>
      </c>
    </row>
    <row r="16" spans="1:7">
      <c r="A16" t="s">
        <v>384</v>
      </c>
      <c r="B16" t="s">
        <v>140</v>
      </c>
      <c r="C16" t="s">
        <v>383</v>
      </c>
    </row>
    <row r="17" spans="1:5">
      <c r="A17" t="s">
        <v>384</v>
      </c>
      <c r="B17" t="s">
        <v>373</v>
      </c>
      <c r="C17" t="s">
        <v>382</v>
      </c>
    </row>
    <row r="18" spans="1:5">
      <c r="A18" t="s">
        <v>384</v>
      </c>
      <c r="B18" t="s">
        <v>377</v>
      </c>
      <c r="C18" t="s">
        <v>383</v>
      </c>
      <c r="D18" s="16" t="s">
        <v>390</v>
      </c>
      <c r="E18" s="16" t="s">
        <v>389</v>
      </c>
    </row>
    <row r="19" spans="1:5">
      <c r="A19" t="s">
        <v>384</v>
      </c>
      <c r="B19" t="s">
        <v>407</v>
      </c>
      <c r="C19" t="s">
        <v>408</v>
      </c>
      <c r="D19" s="16"/>
      <c r="E19" s="16"/>
    </row>
    <row r="20" spans="1:5">
      <c r="A20" t="s">
        <v>131</v>
      </c>
      <c r="B20" t="s">
        <v>141</v>
      </c>
      <c r="C20" t="s">
        <v>392</v>
      </c>
      <c r="D20" s="16" t="s">
        <v>391</v>
      </c>
    </row>
    <row r="21" spans="1:5">
      <c r="A21" t="s">
        <v>131</v>
      </c>
      <c r="B21" t="s">
        <v>142</v>
      </c>
      <c r="C21" t="s">
        <v>392</v>
      </c>
    </row>
    <row r="22" spans="1:5">
      <c r="A22" t="s">
        <v>131</v>
      </c>
      <c r="B22" t="s">
        <v>143</v>
      </c>
      <c r="C22" t="s">
        <v>393</v>
      </c>
    </row>
    <row r="23" spans="1:5">
      <c r="A23" t="s">
        <v>131</v>
      </c>
      <c r="B23" t="s">
        <v>144</v>
      </c>
    </row>
    <row r="24" spans="1:5">
      <c r="A24" t="s">
        <v>378</v>
      </c>
      <c r="B24" t="s">
        <v>276</v>
      </c>
    </row>
    <row r="25" spans="1:5">
      <c r="A25" t="s">
        <v>378</v>
      </c>
      <c r="B25" t="s">
        <v>11</v>
      </c>
      <c r="C25" t="s">
        <v>383</v>
      </c>
    </row>
    <row r="26" spans="1:5">
      <c r="A26" t="s">
        <v>378</v>
      </c>
      <c r="B26" t="s">
        <v>125</v>
      </c>
      <c r="C26" t="s">
        <v>383</v>
      </c>
    </row>
    <row r="27" spans="1:5">
      <c r="A27" t="s">
        <v>378</v>
      </c>
      <c r="B27" t="s">
        <v>344</v>
      </c>
    </row>
    <row r="28" spans="1:5">
      <c r="A28" t="s">
        <v>378</v>
      </c>
      <c r="B28" t="s">
        <v>372</v>
      </c>
      <c r="C28" t="s">
        <v>383</v>
      </c>
      <c r="D28" s="16" t="s">
        <v>387</v>
      </c>
    </row>
    <row r="29" spans="1:5">
      <c r="A29" t="s">
        <v>378</v>
      </c>
      <c r="B29" t="s">
        <v>376</v>
      </c>
      <c r="C29" t="s">
        <v>383</v>
      </c>
    </row>
    <row r="30" spans="1:5">
      <c r="A30" t="s">
        <v>378</v>
      </c>
      <c r="B30" t="s">
        <v>127</v>
      </c>
      <c r="C30" t="s">
        <v>383</v>
      </c>
    </row>
    <row r="31" spans="1:5">
      <c r="A31" t="s">
        <v>378</v>
      </c>
      <c r="B31" t="s">
        <v>277</v>
      </c>
      <c r="C31" t="s">
        <v>383</v>
      </c>
    </row>
    <row r="32" spans="1:5">
      <c r="A32" t="s">
        <v>378</v>
      </c>
      <c r="B32" t="s">
        <v>345</v>
      </c>
      <c r="D32" s="16" t="s">
        <v>388</v>
      </c>
      <c r="E32" s="16" t="s">
        <v>394</v>
      </c>
    </row>
    <row r="33" spans="1:7">
      <c r="A33" t="s">
        <v>378</v>
      </c>
      <c r="B33" t="s">
        <v>399</v>
      </c>
      <c r="C33" t="s">
        <v>383</v>
      </c>
      <c r="D33" s="16" t="s">
        <v>398</v>
      </c>
      <c r="E33" s="16" t="s">
        <v>397</v>
      </c>
      <c r="F33" s="16" t="s">
        <v>400</v>
      </c>
      <c r="G33" s="16" t="s">
        <v>401</v>
      </c>
    </row>
    <row r="34" spans="1:7">
      <c r="A34" t="s">
        <v>378</v>
      </c>
      <c r="B34" t="s">
        <v>126</v>
      </c>
      <c r="C34" t="s">
        <v>383</v>
      </c>
    </row>
    <row r="35" spans="1:7">
      <c r="A35" t="s">
        <v>6</v>
      </c>
      <c r="B35" t="s">
        <v>0</v>
      </c>
    </row>
    <row r="36" spans="1:7">
      <c r="A36" t="s">
        <v>6</v>
      </c>
      <c r="B36" t="s">
        <v>32</v>
      </c>
    </row>
    <row r="37" spans="1:7">
      <c r="A37" t="s">
        <v>6</v>
      </c>
      <c r="B37" t="s">
        <v>149</v>
      </c>
    </row>
    <row r="38" spans="1:7">
      <c r="A38" t="s">
        <v>6</v>
      </c>
      <c r="B38" t="s">
        <v>148</v>
      </c>
    </row>
    <row r="39" spans="1:7">
      <c r="A39" t="s">
        <v>6</v>
      </c>
      <c r="B39" t="s">
        <v>2</v>
      </c>
    </row>
    <row r="40" spans="1:7">
      <c r="A40" t="s">
        <v>6</v>
      </c>
      <c r="B40" t="s">
        <v>33</v>
      </c>
    </row>
    <row r="41" spans="1:7">
      <c r="A41" t="s">
        <v>6</v>
      </c>
      <c r="B41" t="s">
        <v>42</v>
      </c>
    </row>
    <row r="42" spans="1:7">
      <c r="A42" t="s">
        <v>6</v>
      </c>
      <c r="B42" t="s">
        <v>151</v>
      </c>
    </row>
    <row r="43" spans="1:7">
      <c r="A43" t="s">
        <v>6</v>
      </c>
      <c r="B43" t="s">
        <v>41</v>
      </c>
      <c r="C43" t="s">
        <v>383</v>
      </c>
    </row>
    <row r="44" spans="1:7">
      <c r="A44" t="s">
        <v>6</v>
      </c>
      <c r="B44" t="s">
        <v>40</v>
      </c>
      <c r="C44" t="s">
        <v>383</v>
      </c>
    </row>
    <row r="45" spans="1:7">
      <c r="A45" t="s">
        <v>6</v>
      </c>
      <c r="B45" t="s">
        <v>8</v>
      </c>
    </row>
    <row r="46" spans="1:7">
      <c r="A46" t="s">
        <v>6</v>
      </c>
      <c r="B46" t="s">
        <v>9</v>
      </c>
    </row>
    <row r="47" spans="1:7">
      <c r="A47" t="s">
        <v>6</v>
      </c>
      <c r="B47" t="s">
        <v>10</v>
      </c>
      <c r="C47" t="s">
        <v>383</v>
      </c>
    </row>
    <row r="48" spans="1:7">
      <c r="A48" t="s">
        <v>6</v>
      </c>
      <c r="B48" t="s">
        <v>385</v>
      </c>
    </row>
    <row r="49" spans="1:3">
      <c r="A49" t="s">
        <v>6</v>
      </c>
      <c r="B49" t="s">
        <v>16</v>
      </c>
      <c r="C49" t="s">
        <v>383</v>
      </c>
    </row>
    <row r="50" spans="1:3">
      <c r="A50" t="s">
        <v>6</v>
      </c>
      <c r="B50" t="s">
        <v>17</v>
      </c>
    </row>
    <row r="51" spans="1:3">
      <c r="A51" t="s">
        <v>6</v>
      </c>
      <c r="B51" t="s">
        <v>14</v>
      </c>
      <c r="C51" t="s">
        <v>383</v>
      </c>
    </row>
    <row r="52" spans="1:3">
      <c r="A52" t="s">
        <v>6</v>
      </c>
      <c r="B52" t="s">
        <v>18</v>
      </c>
      <c r="C52" t="s">
        <v>383</v>
      </c>
    </row>
    <row r="53" spans="1:3">
      <c r="A53" t="s">
        <v>6</v>
      </c>
      <c r="B53" t="s">
        <v>19</v>
      </c>
    </row>
    <row r="54" spans="1:3">
      <c r="A54" t="s">
        <v>6</v>
      </c>
      <c r="B54" t="s">
        <v>20</v>
      </c>
      <c r="C54" t="s">
        <v>383</v>
      </c>
    </row>
    <row r="55" spans="1:3">
      <c r="A55" t="s">
        <v>6</v>
      </c>
      <c r="B55" t="s">
        <v>21</v>
      </c>
      <c r="C55" t="s">
        <v>383</v>
      </c>
    </row>
    <row r="56" spans="1:3">
      <c r="A56" t="s">
        <v>6</v>
      </c>
      <c r="B56" t="s">
        <v>108</v>
      </c>
      <c r="C56" t="s">
        <v>383</v>
      </c>
    </row>
    <row r="57" spans="1:3">
      <c r="A57" t="s">
        <v>6</v>
      </c>
      <c r="B57" t="s">
        <v>22</v>
      </c>
      <c r="C57" t="s">
        <v>383</v>
      </c>
    </row>
    <row r="58" spans="1:3">
      <c r="A58" t="s">
        <v>6</v>
      </c>
      <c r="B58" t="s">
        <v>23</v>
      </c>
      <c r="C58" t="s">
        <v>383</v>
      </c>
    </row>
    <row r="59" spans="1:3">
      <c r="A59" t="s">
        <v>6</v>
      </c>
      <c r="B59" t="s">
        <v>24</v>
      </c>
      <c r="C59" t="s">
        <v>383</v>
      </c>
    </row>
    <row r="60" spans="1:3">
      <c r="A60" t="s">
        <v>6</v>
      </c>
      <c r="B60" t="s">
        <v>25</v>
      </c>
      <c r="C60" t="s">
        <v>383</v>
      </c>
    </row>
    <row r="61" spans="1:3">
      <c r="A61" t="s">
        <v>6</v>
      </c>
      <c r="B61" t="s">
        <v>26</v>
      </c>
      <c r="C61" t="s">
        <v>383</v>
      </c>
    </row>
    <row r="62" spans="1:3">
      <c r="A62" t="s">
        <v>6</v>
      </c>
      <c r="B62" t="s">
        <v>27</v>
      </c>
      <c r="C62" t="s">
        <v>383</v>
      </c>
    </row>
    <row r="63" spans="1:3">
      <c r="A63" t="s">
        <v>6</v>
      </c>
      <c r="B63" t="s">
        <v>86</v>
      </c>
      <c r="C63" t="s">
        <v>383</v>
      </c>
    </row>
    <row r="64" spans="1:3">
      <c r="A64" t="s">
        <v>6</v>
      </c>
      <c r="B64" t="s">
        <v>28</v>
      </c>
      <c r="C64" t="s">
        <v>383</v>
      </c>
    </row>
    <row r="65" spans="1:3">
      <c r="A65" t="s">
        <v>6</v>
      </c>
      <c r="B65" t="s">
        <v>50</v>
      </c>
    </row>
    <row r="66" spans="1:3">
      <c r="A66" t="s">
        <v>6</v>
      </c>
      <c r="B66" t="s">
        <v>46</v>
      </c>
    </row>
    <row r="67" spans="1:3">
      <c r="A67" t="s">
        <v>6</v>
      </c>
      <c r="B67" t="s">
        <v>47</v>
      </c>
      <c r="C67" t="s">
        <v>383</v>
      </c>
    </row>
    <row r="68" spans="1:3">
      <c r="A68" t="s">
        <v>6</v>
      </c>
      <c r="B68" t="s">
        <v>49</v>
      </c>
      <c r="C68" t="s">
        <v>383</v>
      </c>
    </row>
    <row r="69" spans="1:3">
      <c r="A69" t="s">
        <v>6</v>
      </c>
      <c r="B69" t="s">
        <v>48</v>
      </c>
      <c r="C69" t="s">
        <v>383</v>
      </c>
    </row>
    <row r="70" spans="1:3">
      <c r="A70" t="s">
        <v>6</v>
      </c>
      <c r="B70" t="s">
        <v>153</v>
      </c>
      <c r="C70" t="s">
        <v>383</v>
      </c>
    </row>
    <row r="71" spans="1:3">
      <c r="A71" t="s">
        <v>6</v>
      </c>
      <c r="B71" t="s">
        <v>154</v>
      </c>
      <c r="C71" t="s">
        <v>383</v>
      </c>
    </row>
    <row r="72" spans="1:3">
      <c r="A72" t="s">
        <v>6</v>
      </c>
      <c r="B72" t="s">
        <v>155</v>
      </c>
      <c r="C72" t="s">
        <v>383</v>
      </c>
    </row>
    <row r="73" spans="1:3">
      <c r="A73" t="s">
        <v>6</v>
      </c>
      <c r="B73" t="s">
        <v>156</v>
      </c>
      <c r="C73" t="s">
        <v>383</v>
      </c>
    </row>
    <row r="74" spans="1:3">
      <c r="A74" t="s">
        <v>6</v>
      </c>
      <c r="B74" t="s">
        <v>157</v>
      </c>
      <c r="C74" t="s">
        <v>383</v>
      </c>
    </row>
    <row r="75" spans="1:3">
      <c r="A75" t="s">
        <v>6</v>
      </c>
      <c r="B75" t="s">
        <v>158</v>
      </c>
    </row>
  </sheetData>
  <hyperlinks>
    <hyperlink ref="D28" r:id="rId1" xr:uid="{D3C14225-6F2F-CB4C-B72F-6C8703EC1694}"/>
    <hyperlink ref="D33" r:id="rId2" xr:uid="{6B7FA381-6E66-1F41-8D4C-5B4902F3E7A0}"/>
    <hyperlink ref="D32" r:id="rId3" xr:uid="{A50D2EDA-C315-564A-993F-FAB9E1C089CA}"/>
    <hyperlink ref="D18" r:id="rId4" location="lnk=sametab" xr:uid="{D876045C-CA07-6249-BC7C-7720B884578D}"/>
    <hyperlink ref="E18" r:id="rId5" xr:uid="{593B649C-BF4C-2C45-B621-608E2FBD7640}"/>
    <hyperlink ref="D20" r:id="rId6" xr:uid="{7C95651C-F4BC-C743-B21D-5F27F5A0C36C}"/>
    <hyperlink ref="E32" r:id="rId7" xr:uid="{72443A5B-F463-BB48-ABC0-F365FFAD05E5}"/>
    <hyperlink ref="E33" r:id="rId8" xr:uid="{44688B20-65D8-6C48-B3DF-57334F0733A8}"/>
    <hyperlink ref="F33" r:id="rId9" xr:uid="{280F08AF-4C1D-AA44-A235-DB4478296477}"/>
    <hyperlink ref="G33" r:id="rId10" xr:uid="{ECCE05FD-9549-2C4D-8E4B-A4FE34EA699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22F4-443D-5045-BC6E-07ACFAFDEB33}">
  <dimension ref="A1:F13"/>
  <sheetViews>
    <sheetView workbookViewId="0">
      <selection activeCell="F5" sqref="F4:F13"/>
    </sheetView>
  </sheetViews>
  <sheetFormatPr baseColWidth="10" defaultRowHeight="15"/>
  <cols>
    <col min="6" max="6" width="13.6640625" customWidth="1"/>
  </cols>
  <sheetData>
    <row r="1" spans="1:6" ht="32">
      <c r="B1" s="7" t="s">
        <v>30</v>
      </c>
      <c r="C1" s="7" t="s">
        <v>29</v>
      </c>
      <c r="D1" s="7" t="s">
        <v>3</v>
      </c>
      <c r="E1" s="7" t="s">
        <v>105</v>
      </c>
      <c r="F1" s="7" t="s">
        <v>271</v>
      </c>
    </row>
    <row r="2" spans="1:6">
      <c r="A2" s="10" t="s">
        <v>20</v>
      </c>
      <c r="B2" s="10" t="s">
        <v>34</v>
      </c>
      <c r="C2" s="19">
        <v>0.25</v>
      </c>
      <c r="D2" s="19">
        <v>5</v>
      </c>
      <c r="E2" s="19">
        <v>10</v>
      </c>
      <c r="F2">
        <f>E2/10</f>
        <v>1</v>
      </c>
    </row>
    <row r="3" spans="1:6">
      <c r="A3" s="10" t="s">
        <v>21</v>
      </c>
      <c r="B3" s="10" t="s">
        <v>34</v>
      </c>
      <c r="C3" s="19">
        <v>0.125</v>
      </c>
      <c r="D3" s="19">
        <v>2.5</v>
      </c>
      <c r="E3" s="19">
        <v>5</v>
      </c>
      <c r="F3">
        <f t="shared" ref="F3:F4" si="0">E3/10</f>
        <v>0.5</v>
      </c>
    </row>
    <row r="4" spans="1:6">
      <c r="A4" s="10" t="s">
        <v>108</v>
      </c>
      <c r="B4" s="10" t="s">
        <v>34</v>
      </c>
      <c r="C4" s="19">
        <v>0.5</v>
      </c>
      <c r="D4" s="19">
        <v>10</v>
      </c>
      <c r="E4" s="19">
        <v>20</v>
      </c>
      <c r="F4">
        <f t="shared" si="0"/>
        <v>2</v>
      </c>
    </row>
    <row r="5" spans="1:6">
      <c r="A5" s="83" t="s">
        <v>22</v>
      </c>
      <c r="B5" s="83" t="s">
        <v>34</v>
      </c>
      <c r="C5" s="84">
        <v>0.125</v>
      </c>
      <c r="D5" s="84">
        <v>2.5</v>
      </c>
      <c r="E5" s="84">
        <v>5</v>
      </c>
      <c r="F5" s="144">
        <f>SUM(E5:E13)/10</f>
        <v>1.9079999999999999</v>
      </c>
    </row>
    <row r="6" spans="1:6">
      <c r="A6" s="83" t="s">
        <v>23</v>
      </c>
      <c r="B6" s="83" t="s">
        <v>34</v>
      </c>
      <c r="C6" s="84">
        <v>8.3000000000000004E-2</v>
      </c>
      <c r="D6" s="84">
        <v>1.6600000000000001</v>
      </c>
      <c r="E6" s="84">
        <v>3.3200000000000003</v>
      </c>
      <c r="F6" s="144"/>
    </row>
    <row r="7" spans="1:6">
      <c r="A7" s="83" t="s">
        <v>18</v>
      </c>
      <c r="B7" s="83" t="s">
        <v>34</v>
      </c>
      <c r="C7" s="84">
        <v>0.02</v>
      </c>
      <c r="D7" s="84">
        <v>0.4</v>
      </c>
      <c r="E7" s="84">
        <v>0.8</v>
      </c>
      <c r="F7" s="144"/>
    </row>
    <row r="8" spans="1:6">
      <c r="A8" s="83" t="s">
        <v>24</v>
      </c>
      <c r="B8" s="83" t="s">
        <v>34</v>
      </c>
      <c r="C8" s="84">
        <v>8.3000000000000004E-2</v>
      </c>
      <c r="D8" s="84">
        <v>1.6600000000000001</v>
      </c>
      <c r="E8" s="84">
        <v>3.3200000000000003</v>
      </c>
      <c r="F8" s="144"/>
    </row>
    <row r="9" spans="1:6">
      <c r="A9" s="83" t="s">
        <v>25</v>
      </c>
      <c r="B9" s="83" t="s">
        <v>34</v>
      </c>
      <c r="C9" s="84">
        <v>4.1500000000000002E-2</v>
      </c>
      <c r="D9" s="84">
        <v>0.83000000000000007</v>
      </c>
      <c r="E9" s="84">
        <v>1.6600000000000001</v>
      </c>
      <c r="F9" s="144"/>
    </row>
    <row r="10" spans="1:6">
      <c r="A10" s="83" t="s">
        <v>26</v>
      </c>
      <c r="B10" s="83" t="s">
        <v>34</v>
      </c>
      <c r="C10" s="84">
        <v>4.1500000000000002E-2</v>
      </c>
      <c r="D10" s="84">
        <v>0.83000000000000007</v>
      </c>
      <c r="E10" s="84">
        <v>1.6600000000000001</v>
      </c>
      <c r="F10" s="144"/>
    </row>
    <row r="11" spans="1:6">
      <c r="A11" s="83" t="s">
        <v>27</v>
      </c>
      <c r="B11" s="83" t="s">
        <v>34</v>
      </c>
      <c r="C11" s="84">
        <v>4.1500000000000002E-2</v>
      </c>
      <c r="D11" s="84">
        <v>0.83000000000000007</v>
      </c>
      <c r="E11" s="84">
        <v>1.6600000000000001</v>
      </c>
      <c r="F11" s="144"/>
    </row>
    <row r="12" spans="1:6">
      <c r="A12" s="83" t="s">
        <v>86</v>
      </c>
      <c r="B12" s="83" t="s">
        <v>34</v>
      </c>
      <c r="C12" s="84">
        <v>2.0750000000000001E-2</v>
      </c>
      <c r="D12" s="84">
        <v>0.41500000000000004</v>
      </c>
      <c r="E12" s="84">
        <v>0.83000000000000007</v>
      </c>
      <c r="F12" s="144"/>
    </row>
    <row r="13" spans="1:6">
      <c r="A13" s="83" t="s">
        <v>28</v>
      </c>
      <c r="B13" s="83" t="s">
        <v>34</v>
      </c>
      <c r="C13" s="84">
        <v>2.0750000000000001E-2</v>
      </c>
      <c r="D13" s="84">
        <v>0.41500000000000004</v>
      </c>
      <c r="E13" s="84">
        <v>0.83000000000000007</v>
      </c>
      <c r="F13" s="144"/>
    </row>
  </sheetData>
  <mergeCells count="1">
    <mergeCell ref="F5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Balance Sheet</vt:lpstr>
      <vt:lpstr>Income Statement</vt:lpstr>
      <vt:lpstr>Cash Flow</vt:lpstr>
      <vt:lpstr>Expenses</vt:lpstr>
      <vt:lpstr>Sales Projections</vt:lpstr>
      <vt:lpstr>Total Ingredients</vt:lpstr>
      <vt:lpstr>Menu Items</vt:lpstr>
      <vt:lpstr>Product Supplier List</vt:lpstr>
      <vt:lpstr>For 20lbs</vt:lpstr>
      <vt:lpstr>To do's</vt:lpstr>
      <vt:lpstr>Spice Conversion</vt:lpstr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Pinder</dc:creator>
  <cp:lastModifiedBy>Microsoft Office User</cp:lastModifiedBy>
  <dcterms:created xsi:type="dcterms:W3CDTF">2020-10-20T02:06:45Z</dcterms:created>
  <dcterms:modified xsi:type="dcterms:W3CDTF">2021-04-15T17:43:37Z</dcterms:modified>
</cp:coreProperties>
</file>