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Social Media working\Linkedin &amp; Youtube Posts\5G SSB Posistion impact\"/>
    </mc:Choice>
  </mc:AlternateContent>
  <xr:revisionPtr revIDLastSave="0" documentId="13_ncr:1_{DAFA90DD-3D7D-49F3-9250-E41932CB4ED5}" xr6:coauthVersionLast="47" xr6:coauthVersionMax="47" xr10:uidLastSave="{00000000-0000-0000-0000-000000000000}"/>
  <bookViews>
    <workbookView xWindow="-108" yWindow="-108" windowWidth="23256" windowHeight="12576" activeTab="3" xr2:uid="{EE48F1BD-E9E2-45B6-A5DE-DAECE96B0C5E}"/>
  </bookViews>
  <sheets>
    <sheet name="Overhead calculation" sheetId="2" r:id="rId1"/>
    <sheet name="References" sheetId="3" r:id="rId2"/>
    <sheet name="SSB Position" sheetId="5" r:id="rId3"/>
    <sheet name="Calculator" sheetId="6" r:id="rId4"/>
    <sheet name="Main Parameters" sheetId="14" r:id="rId5"/>
    <sheet name="Frequency domain allocation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F24" i="2"/>
  <c r="H35" i="5"/>
  <c r="H34" i="5"/>
  <c r="H33" i="5"/>
  <c r="H32" i="5"/>
  <c r="H31" i="5"/>
  <c r="H30" i="5"/>
  <c r="H29" i="5"/>
  <c r="H28" i="5"/>
  <c r="H27" i="5"/>
  <c r="H26" i="5"/>
  <c r="H25" i="5"/>
  <c r="H24" i="5"/>
  <c r="E26" i="5"/>
  <c r="E27" i="5"/>
  <c r="E28" i="5" s="1"/>
  <c r="E29" i="5" s="1"/>
  <c r="E30" i="5" s="1"/>
  <c r="E31" i="5" s="1"/>
  <c r="E32" i="5" s="1"/>
  <c r="E33" i="5" s="1"/>
  <c r="E34" i="5" s="1"/>
  <c r="E35" i="5" s="1"/>
  <c r="E25" i="5"/>
  <c r="D35" i="5"/>
  <c r="D34" i="5"/>
  <c r="D33" i="5"/>
  <c r="D32" i="5"/>
  <c r="D31" i="5"/>
  <c r="D30" i="5"/>
  <c r="D29" i="5"/>
  <c r="D28" i="5"/>
  <c r="D27" i="5"/>
  <c r="D26" i="5"/>
  <c r="D25" i="5"/>
  <c r="F35" i="5"/>
  <c r="F34" i="5"/>
  <c r="F33" i="5"/>
  <c r="F32" i="5"/>
  <c r="F31" i="5"/>
  <c r="F30" i="5"/>
  <c r="F29" i="5"/>
  <c r="F28" i="5"/>
  <c r="F27" i="5"/>
  <c r="F26" i="5"/>
  <c r="F25" i="5"/>
  <c r="E24" i="5"/>
  <c r="C24" i="5"/>
  <c r="D24" i="5"/>
  <c r="I19" i="5"/>
  <c r="G19" i="5"/>
  <c r="F19" i="5"/>
  <c r="G21" i="5"/>
  <c r="N28" i="6"/>
  <c r="L9" i="6"/>
  <c r="O8" i="6" s="1"/>
  <c r="F28" i="6"/>
  <c r="C30" i="6"/>
  <c r="C29" i="6"/>
  <c r="C28" i="6"/>
  <c r="E15" i="6"/>
  <c r="E8" i="6"/>
  <c r="E13" i="6"/>
  <c r="E6" i="6"/>
  <c r="H19" i="5" l="1"/>
  <c r="L5" i="6"/>
  <c r="L6" i="6"/>
  <c r="O5" i="6"/>
  <c r="O6" i="6"/>
  <c r="O7" i="6"/>
  <c r="L7" i="6"/>
  <c r="O9" i="6" l="1"/>
  <c r="M11" i="6" s="1"/>
  <c r="C5" i="2"/>
  <c r="C11" i="2"/>
  <c r="C10" i="2"/>
  <c r="C9" i="2"/>
  <c r="C8" i="2"/>
  <c r="C4" i="2"/>
  <c r="B14" i="2" l="1"/>
</calcChain>
</file>

<file path=xl/sharedStrings.xml><?xml version="1.0" encoding="utf-8"?>
<sst xmlns="http://schemas.openxmlformats.org/spreadsheetml/2006/main" count="243" uniqueCount="148">
  <si>
    <t>RE_Num(PSS)</t>
  </si>
  <si>
    <t>RE_Num(SSS)</t>
  </si>
  <si>
    <t>RE_Num(PBCH)</t>
  </si>
  <si>
    <t>Number of Res used</t>
  </si>
  <si>
    <t>SCS</t>
  </si>
  <si>
    <t>(kHz)</t>
  </si>
  <si>
    <t>Slot configuration(Normal CP)</t>
  </si>
  <si>
    <t>Slot/Subframe</t>
  </si>
  <si>
    <t>Slot/Frame</t>
  </si>
  <si>
    <t>Symbol/Slot </t>
  </si>
  <si>
    <t>BW</t>
  </si>
  <si>
    <t>5 MHz</t>
  </si>
  <si>
    <t>10 MHz</t>
  </si>
  <si>
    <t>15 MHz</t>
  </si>
  <si>
    <t>20 MHz</t>
  </si>
  <si>
    <t>25 MHz</t>
  </si>
  <si>
    <t>30 MHz</t>
  </si>
  <si>
    <t>40 MHz</t>
  </si>
  <si>
    <t>50 MHz</t>
  </si>
  <si>
    <t>60 MHz</t>
  </si>
  <si>
    <t>80 MHz</t>
  </si>
  <si>
    <t>90 MHz</t>
  </si>
  <si>
    <t>100 MHz</t>
  </si>
  <si>
    <t>15 kHz</t>
  </si>
  <si>
    <t>NA</t>
  </si>
  <si>
    <t>30 kHz</t>
  </si>
  <si>
    <t>60 kHz</t>
  </si>
  <si>
    <t>#RBs</t>
  </si>
  <si>
    <t>120 kHz</t>
  </si>
  <si>
    <t>240 kHz</t>
  </si>
  <si>
    <t>#</t>
  </si>
  <si>
    <t xml:space="preserve">SSB Overhead </t>
  </si>
  <si>
    <t>SSB Overhead =</t>
  </si>
  <si>
    <t>Fixed inputs</t>
  </si>
  <si>
    <t>Dynamic inputs</t>
  </si>
  <si>
    <t>Unit</t>
  </si>
  <si>
    <t>Resource blocks</t>
  </si>
  <si>
    <t>Number of slots per frame</t>
  </si>
  <si>
    <t>Number of Symbols</t>
  </si>
  <si>
    <t xml:space="preserve">Number of Resource elements </t>
  </si>
  <si>
    <t>SSB Periodicity</t>
  </si>
  <si>
    <t>No of SSBs</t>
  </si>
  <si>
    <t>No SSBs in a frame</t>
  </si>
  <si>
    <t>RE_Not used</t>
  </si>
  <si>
    <r>
      <t>N</t>
    </r>
    <r>
      <rPr>
        <b/>
        <i/>
        <sz val="10"/>
        <color rgb="FFFFFFFF"/>
        <rFont val="Calibri Light"/>
        <family val="2"/>
      </rPr>
      <t>REF-Offs</t>
    </r>
  </si>
  <si>
    <t>0 - 599999</t>
  </si>
  <si>
    <t>600000 - 2016666</t>
  </si>
  <si>
    <t>2016667 - 3279165</t>
  </si>
  <si>
    <t>NREF = (FREF - FREF-Offs) / ΔFGlobal + NREF-Offs</t>
  </si>
  <si>
    <t>GSCN</t>
  </si>
  <si>
    <t>0 - 3000</t>
  </si>
  <si>
    <t>N * 1200kHz + M * 50kHz</t>
  </si>
  <si>
    <t>3N + (M-3)/2</t>
  </si>
  <si>
    <t>3000 - 24250</t>
  </si>
  <si>
    <t>0 - 14756</t>
  </si>
  <si>
    <t>3000MHz + N * 1.44MHz</t>
  </si>
  <si>
    <t>7499 + N</t>
  </si>
  <si>
    <t>7499 - 22255</t>
  </si>
  <si>
    <t>24250 - 100000</t>
  </si>
  <si>
    <t>0 - 4383</t>
  </si>
  <si>
    <t>24250.08MHz + N * 17.28MHz</t>
  </si>
  <si>
    <t>22256 + N</t>
  </si>
  <si>
    <t>22256 - 26639</t>
  </si>
  <si>
    <t>GSCN
(Global Synchronization Channel No.)</t>
  </si>
  <si>
    <t>1 - 2499</t>
  </si>
  <si>
    <t>1 - 3 - 5</t>
  </si>
  <si>
    <t>2 - 7498</t>
  </si>
  <si>
    <t>Span</t>
  </si>
  <si>
    <t>1.2Mhz</t>
  </si>
  <si>
    <t xml:space="preserve">How the span is being calculated </t>
  </si>
  <si>
    <t>1.44Mhz</t>
  </si>
  <si>
    <t>17.27Mhz</t>
  </si>
  <si>
    <t>The NR-ARFCN must be an odd number.</t>
  </si>
  <si>
    <t>n258</t>
  </si>
  <si>
    <t>Narfcn &amp; Freq Calculator</t>
  </si>
  <si>
    <t>n261</t>
  </si>
  <si>
    <t>Sub 5G</t>
    <phoneticPr fontId="0" type="noConversion"/>
  </si>
  <si>
    <t>mmWave</t>
    <phoneticPr fontId="0" type="noConversion"/>
  </si>
  <si>
    <t>Frequency Range (MHz)</t>
  </si>
  <si>
    <r>
      <t>ΔF</t>
    </r>
    <r>
      <rPr>
        <b/>
        <vertAlign val="subscript"/>
        <sz val="8"/>
        <color rgb="FF000000"/>
        <rFont val="Arial"/>
        <family val="2"/>
      </rPr>
      <t>Global</t>
    </r>
    <r>
      <rPr>
        <b/>
        <sz val="8"/>
        <color rgb="FF000000"/>
        <rFont val="Arial"/>
        <family val="2"/>
      </rPr>
      <t> (MHz)</t>
    </r>
  </si>
  <si>
    <r>
      <t>F</t>
    </r>
    <r>
      <rPr>
        <b/>
        <vertAlign val="subscript"/>
        <sz val="8"/>
        <color rgb="FF000000"/>
        <rFont val="Arial"/>
        <family val="2"/>
      </rPr>
      <t>REF-Offs</t>
    </r>
    <r>
      <rPr>
        <b/>
        <sz val="8"/>
        <color rgb="FF000000"/>
        <rFont val="Arial"/>
        <family val="2"/>
      </rPr>
      <t> (MHz)</t>
    </r>
  </si>
  <si>
    <r>
      <t>N</t>
    </r>
    <r>
      <rPr>
        <b/>
        <vertAlign val="subscript"/>
        <sz val="8"/>
        <color rgb="FF000000"/>
        <rFont val="Arial"/>
        <family val="2"/>
      </rPr>
      <t>REF-Offs</t>
    </r>
  </si>
  <si>
    <t>Input Narfcn</t>
    <phoneticPr fontId="0" type="noConversion"/>
  </si>
  <si>
    <t>Get frequency(kHZ)</t>
    <phoneticPr fontId="0" type="noConversion"/>
  </si>
  <si>
    <t>0 to 3000</t>
  </si>
  <si>
    <t>3000 to 24250</t>
  </si>
  <si>
    <t>Input frequency(kHZ)</t>
    <phoneticPr fontId="0" type="noConversion"/>
  </si>
  <si>
    <t>Get Narfcn</t>
    <phoneticPr fontId="0" type="noConversion"/>
  </si>
  <si>
    <t>24250 to 100000</t>
  </si>
  <si>
    <t>Frequency range</t>
  </si>
  <si>
    <t>ΔFGlobal</t>
  </si>
  <si>
    <t>FREF-Offs [MHz]</t>
  </si>
  <si>
    <t>NREF-Offs</t>
  </si>
  <si>
    <t>Range of NREF</t>
  </si>
  <si>
    <t>SSB Frequency Calculator</t>
  </si>
  <si>
    <t>ΔFGlobal (MHz)</t>
  </si>
  <si>
    <t>SSB Freq offset(MHz)</t>
  </si>
  <si>
    <t>FREF-Offs (MHz)</t>
  </si>
  <si>
    <t>SSB Freq Spacing(MHz)</t>
  </si>
  <si>
    <t>GSCN offset</t>
    <phoneticPr fontId="0" type="noConversion"/>
  </si>
  <si>
    <t>Input GSCN</t>
  </si>
  <si>
    <t>Check result of input</t>
    <phoneticPr fontId="0" type="noConversion"/>
  </si>
  <si>
    <t>GSCN Frequency(MHz)</t>
  </si>
  <si>
    <t>Result</t>
  </si>
  <si>
    <t>GSCN &amp; Equivalent Narfcn Calculator</t>
  </si>
  <si>
    <t>assuming M=3</t>
  </si>
  <si>
    <t>NR-ARFCN  = NREF-Offs+(FREF - FREF-Offs) / ΔFGlobal</t>
  </si>
  <si>
    <t>NR-ARFCN  
(absolute channel number)</t>
  </si>
  <si>
    <t>Equivalent Narfcn of GSCN</t>
  </si>
  <si>
    <r>
      <t>F</t>
    </r>
    <r>
      <rPr>
        <b/>
        <i/>
        <sz val="10"/>
        <color rgb="FFFFFFFF"/>
        <rFont val="Calibri Light"/>
        <family val="2"/>
      </rPr>
      <t>REF-Offs</t>
    </r>
    <r>
      <rPr>
        <b/>
        <i/>
        <sz val="10.5"/>
        <color rgb="FFFFFFFF"/>
        <rFont val="Calibri Light"/>
        <family val="2"/>
      </rPr>
      <t>(MHz)</t>
    </r>
  </si>
  <si>
    <t>Range of NR-ARFCN</t>
  </si>
  <si>
    <t>Freq range(GHz)</t>
  </si>
  <si>
    <t>Frequency range(GHz)</t>
  </si>
  <si>
    <t>Range of N</t>
  </si>
  <si>
    <t>Range of M</t>
  </si>
  <si>
    <t>SS Block frequency position "SSREF"</t>
  </si>
  <si>
    <t>Range  of GSCN</t>
  </si>
  <si>
    <r>
      <t>Δ</t>
    </r>
    <r>
      <rPr>
        <b/>
        <i/>
        <sz val="10.5"/>
        <color rgb="FFFFFFFF"/>
        <rFont val="Calibri Light"/>
        <family val="2"/>
      </rPr>
      <t>F</t>
    </r>
    <r>
      <rPr>
        <b/>
        <sz val="10.5"/>
        <color rgb="FFFFFFFF"/>
        <rFont val="Calibri Light"/>
        <family val="2"/>
      </rPr>
      <t xml:space="preserve"> 
Global(KHz)</t>
    </r>
  </si>
  <si>
    <t>Frequency range
(GHz)</t>
  </si>
  <si>
    <t xml:space="preserve">0 - 3000 </t>
  </si>
  <si>
    <t xml:space="preserve">3000 - 24250 </t>
  </si>
  <si>
    <t xml:space="preserve">24250 - 100000 </t>
  </si>
  <si>
    <r>
      <t>Δ</t>
    </r>
    <r>
      <rPr>
        <b/>
        <i/>
        <sz val="10.5"/>
        <color rgb="FFFFFFFF"/>
        <rFont val="Calibri Light"/>
        <family val="2"/>
      </rPr>
      <t>F</t>
    </r>
    <r>
      <rPr>
        <b/>
        <sz val="10.5"/>
        <color rgb="FFFFFFFF"/>
        <rFont val="Calibri Light"/>
        <family val="2"/>
      </rPr>
      <t xml:space="preserve"> 
Global(MHz)</t>
    </r>
  </si>
  <si>
    <t>-</t>
  </si>
  <si>
    <t>SSB Freq 
offset(MHz)</t>
  </si>
  <si>
    <t>M*50KHz</t>
  </si>
  <si>
    <t>3000Mhz</t>
  </si>
  <si>
    <t>24250.08MHz</t>
  </si>
  <si>
    <t>How to calculate granulity or freq span(Assume scs = 30Khz)</t>
  </si>
  <si>
    <t>10Mhz</t>
  </si>
  <si>
    <t>5Mhz</t>
  </si>
  <si>
    <t>Min Available 
BW</t>
  </si>
  <si>
    <t>Available RBs</t>
  </si>
  <si>
    <t>50Mhz</t>
  </si>
  <si>
    <t>SCS(KHz)</t>
  </si>
  <si>
    <t>Available BW (Mhz)</t>
  </si>
  <si>
    <r>
      <t xml:space="preserve"> RE_Num(PSS)+RE_Num(SSS)+RE_Num(PBCH)*No SSBs in a frame
</t>
    </r>
    <r>
      <rPr>
        <b/>
        <sz val="11"/>
        <color rgb="FFC00000"/>
        <rFont val="Calibri"/>
        <family val="2"/>
        <scheme val="minor"/>
      </rPr>
      <t>------------------------------------------------------------------------------</t>
    </r>
    <r>
      <rPr>
        <b/>
        <sz val="11"/>
        <color theme="1"/>
        <rFont val="Calibri"/>
        <family val="2"/>
        <scheme val="minor"/>
      </rPr>
      <t xml:space="preserve">
(Total BW RBs * 12 Subcarrier * No of slots per frame * No of symbols)</t>
    </r>
  </si>
  <si>
    <t>Parameter Name</t>
  </si>
  <si>
    <t>Description</t>
  </si>
  <si>
    <t>Value</t>
  </si>
  <si>
    <t>SSB-PositionInBurst</t>
  </si>
  <si>
    <t>Ss-PBCH-BlockPower</t>
  </si>
  <si>
    <t>The inOneGroup bit string indicates which SS/PBCH within a group are active</t>
  </si>
  <si>
    <t>1-SSB Periodicity specifies the periodicity of SSB Burst 
2-In other words, it controls the number of times the SSB will be transmitted in the time domain</t>
  </si>
  <si>
    <t>Indicates the power of a single resource element used by SSS/PBCH/DMRS</t>
  </si>
  <si>
    <t>(5, 10, 20, 40, 80, 160ms)</t>
  </si>
  <si>
    <t>Ex1: 1111000( means 4 SSBs are transmitted)
Ex2 : 1111111(means 8 SSBs are transmitted)</t>
  </si>
  <si>
    <t>(-60 to 50 dBm)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</si>
</sst>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Huawei Sans"/>
    </font>
    <font>
      <b/>
      <sz val="11"/>
      <color rgb="FFFFFF00"/>
      <name val="Calibri"/>
      <family val="2"/>
      <scheme val="minor"/>
    </font>
    <font>
      <b/>
      <sz val="7"/>
      <color rgb="FF7BFF3E"/>
      <name val="Trebuchet MS"/>
      <family val="2"/>
    </font>
    <font>
      <sz val="7"/>
      <color rgb="FF000000"/>
      <name val="Trebuchet MS"/>
      <family val="2"/>
    </font>
    <font>
      <b/>
      <sz val="7"/>
      <color theme="0"/>
      <name val="Trebuchet MS"/>
      <family val="2"/>
    </font>
    <font>
      <sz val="7"/>
      <color theme="0"/>
      <name val="Trebuchet MS"/>
      <family val="2"/>
    </font>
    <font>
      <b/>
      <sz val="11"/>
      <color theme="0"/>
      <name val="Huawei Sans"/>
    </font>
    <font>
      <b/>
      <sz val="11"/>
      <color rgb="FFC00000"/>
      <name val="Calibri"/>
      <family val="2"/>
      <scheme val="minor"/>
    </font>
    <font>
      <b/>
      <sz val="10.5"/>
      <color rgb="FFFFFFFF"/>
      <name val="Calibri Light"/>
      <family val="2"/>
    </font>
    <font>
      <b/>
      <i/>
      <sz val="10.5"/>
      <color rgb="FFFFFFFF"/>
      <name val="Calibri Light"/>
      <family val="2"/>
    </font>
    <font>
      <b/>
      <i/>
      <sz val="10"/>
      <color rgb="FFFFFFFF"/>
      <name val="Calibri Light"/>
      <family val="2"/>
    </font>
    <font>
      <sz val="10.5"/>
      <color rgb="FF000000"/>
      <name val="Calibri Light"/>
      <family val="2"/>
    </font>
    <font>
      <b/>
      <sz val="8"/>
      <color rgb="FFFFFFFF"/>
      <name val="Segoe UI"/>
      <family val="2"/>
    </font>
    <font>
      <sz val="8"/>
      <color rgb="FF000000"/>
      <name val="Segoe UI"/>
      <family val="2"/>
    </font>
    <font>
      <sz val="11"/>
      <color theme="1"/>
      <name val="Calibri"/>
      <family val="2"/>
      <charset val="134"/>
      <scheme val="minor"/>
    </font>
    <font>
      <b/>
      <sz val="11"/>
      <color rgb="FFC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bscript"/>
      <sz val="8"/>
      <color rgb="FF000000"/>
      <name val="Arial"/>
      <family val="2"/>
    </font>
    <font>
      <sz val="12"/>
      <name val="宋体"/>
      <family val="3"/>
      <charset val="134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0070C0"/>
      <name val="Calibri"/>
      <family val="2"/>
    </font>
    <font>
      <u/>
      <sz val="11"/>
      <color theme="10"/>
      <name val="Calibri"/>
      <family val="2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C4C4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E0E0E0"/>
      </left>
      <right style="medium">
        <color rgb="FFDDDDDD"/>
      </right>
      <top style="medium">
        <color rgb="FFE0E0E0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E0E0E0"/>
      </top>
      <bottom style="medium">
        <color rgb="FFDDDDDD"/>
      </bottom>
      <diagonal/>
    </border>
    <border>
      <left style="medium">
        <color rgb="FFDDDDDD"/>
      </left>
      <right style="medium">
        <color rgb="FFE0E0E0"/>
      </right>
      <top style="medium">
        <color rgb="FFE0E0E0"/>
      </top>
      <bottom style="medium">
        <color rgb="FFDDDDDD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8" fillId="0" borderId="0"/>
    <xf numFmtId="0" fontId="25" fillId="0" borderId="0">
      <alignment vertical="center"/>
    </xf>
    <xf numFmtId="0" fontId="30" fillId="0" borderId="0"/>
    <xf numFmtId="0" fontId="35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readingOrder="1"/>
    </xf>
    <xf numFmtId="0" fontId="6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readingOrder="1"/>
    </xf>
    <xf numFmtId="0" fontId="10" fillId="2" borderId="4" xfId="0" applyFont="1" applyFill="1" applyBorder="1" applyAlignment="1">
      <alignment horizontal="center" vertical="center" readingOrder="1"/>
    </xf>
    <xf numFmtId="0" fontId="10" fillId="2" borderId="2" xfId="0" applyFont="1" applyFill="1" applyBorder="1" applyAlignment="1">
      <alignment horizontal="center" vertical="center" readingOrder="1"/>
    </xf>
    <xf numFmtId="0" fontId="0" fillId="0" borderId="0" xfId="0" applyAlignment="1">
      <alignment horizontal="center" vertical="center"/>
    </xf>
    <xf numFmtId="10" fontId="0" fillId="0" borderId="0" xfId="1" applyNumberFormat="1" applyFont="1"/>
    <xf numFmtId="10" fontId="0" fillId="0" borderId="0" xfId="1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15" fillId="0" borderId="1" xfId="0" applyFont="1" applyBorder="1" applyAlignment="1">
      <alignment horizontal="center" vertical="center" readingOrder="1"/>
    </xf>
    <xf numFmtId="0" fontId="17" fillId="0" borderId="1" xfId="0" applyFont="1" applyBorder="1" applyAlignment="1">
      <alignment horizontal="center" vertical="center" readingOrder="1"/>
    </xf>
    <xf numFmtId="0" fontId="3" fillId="0" borderId="1" xfId="0" applyFont="1" applyBorder="1"/>
    <xf numFmtId="0" fontId="18" fillId="9" borderId="0" xfId="2" applyFill="1"/>
    <xf numFmtId="0" fontId="20" fillId="12" borderId="9" xfId="2" applyFont="1" applyFill="1" applyBorder="1" applyAlignment="1">
      <alignment horizontal="left" vertical="center"/>
    </xf>
    <xf numFmtId="0" fontId="21" fillId="0" borderId="9" xfId="2" applyFont="1" applyBorder="1" applyAlignment="1">
      <alignment vertical="center"/>
    </xf>
    <xf numFmtId="0" fontId="3" fillId="9" borderId="0" xfId="2" applyFont="1" applyFill="1"/>
    <xf numFmtId="0" fontId="23" fillId="9" borderId="0" xfId="2" applyFont="1" applyFill="1"/>
    <xf numFmtId="0" fontId="29" fillId="3" borderId="13" xfId="2" applyFont="1" applyFill="1" applyBorder="1" applyAlignment="1">
      <alignment horizontal="center" vertical="center"/>
    </xf>
    <xf numFmtId="0" fontId="29" fillId="3" borderId="14" xfId="2" applyFont="1" applyFill="1" applyBorder="1" applyAlignment="1">
      <alignment horizontal="center" vertical="center"/>
    </xf>
    <xf numFmtId="0" fontId="29" fillId="3" borderId="15" xfId="2" applyFont="1" applyFill="1" applyBorder="1" applyAlignment="1">
      <alignment horizontal="center" vertical="center"/>
    </xf>
    <xf numFmtId="0" fontId="31" fillId="9" borderId="8" xfId="4" applyFont="1" applyFill="1" applyBorder="1" applyAlignment="1">
      <alignment horizontal="center"/>
    </xf>
    <xf numFmtId="0" fontId="31" fillId="9" borderId="8" xfId="4" applyFont="1" applyFill="1" applyBorder="1" applyAlignment="1">
      <alignment horizontal="center" vertical="center"/>
    </xf>
    <xf numFmtId="0" fontId="32" fillId="11" borderId="8" xfId="4" applyFont="1" applyFill="1" applyBorder="1" applyAlignment="1">
      <alignment horizontal="center"/>
    </xf>
    <xf numFmtId="0" fontId="33" fillId="9" borderId="8" xfId="4" applyFont="1" applyFill="1" applyBorder="1" applyAlignment="1">
      <alignment horizontal="center" vertical="center"/>
    </xf>
    <xf numFmtId="0" fontId="32" fillId="9" borderId="8" xfId="4" applyFont="1" applyFill="1" applyBorder="1" applyAlignment="1">
      <alignment horizontal="center"/>
    </xf>
    <xf numFmtId="0" fontId="34" fillId="9" borderId="8" xfId="4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readingOrder="1"/>
    </xf>
    <xf numFmtId="0" fontId="18" fillId="9" borderId="8" xfId="2" applyFill="1" applyBorder="1" applyAlignment="1">
      <alignment horizontal="center"/>
    </xf>
    <xf numFmtId="0" fontId="18" fillId="9" borderId="0" xfId="2" applyFill="1" applyAlignment="1">
      <alignment horizontal="center" vertical="center" wrapText="1"/>
    </xf>
    <xf numFmtId="0" fontId="15" fillId="0" borderId="8" xfId="0" applyFont="1" applyBorder="1" applyAlignment="1">
      <alignment horizontal="center" vertical="center" readingOrder="1"/>
    </xf>
    <xf numFmtId="0" fontId="17" fillId="0" borderId="8" xfId="0" applyFont="1" applyBorder="1" applyAlignment="1">
      <alignment horizontal="center" vertical="center" readingOrder="1"/>
    </xf>
    <xf numFmtId="0" fontId="18" fillId="9" borderId="0" xfId="2" applyFill="1" applyAlignment="1">
      <alignment horizontal="center" vertical="center"/>
    </xf>
    <xf numFmtId="0" fontId="3" fillId="9" borderId="0" xfId="2" applyFont="1" applyFill="1" applyAlignment="1">
      <alignment horizontal="center" wrapText="1"/>
    </xf>
    <xf numFmtId="0" fontId="0" fillId="0" borderId="8" xfId="0" applyBorder="1" applyAlignment="1">
      <alignment horizontal="center"/>
    </xf>
    <xf numFmtId="0" fontId="0" fillId="9" borderId="0" xfId="0" applyFill="1"/>
    <xf numFmtId="0" fontId="3" fillId="14" borderId="8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/>
    </xf>
    <xf numFmtId="0" fontId="0" fillId="0" borderId="30" xfId="0" applyBorder="1" applyAlignment="1">
      <alignment vertical="center"/>
    </xf>
    <xf numFmtId="0" fontId="0" fillId="0" borderId="30" xfId="0" applyBorder="1" applyAlignment="1">
      <alignment vertical="center" wrapText="1"/>
    </xf>
    <xf numFmtId="0" fontId="5" fillId="2" borderId="30" xfId="0" applyFont="1" applyFill="1" applyBorder="1" applyAlignment="1">
      <alignment horizontal="center" vertical="center"/>
    </xf>
    <xf numFmtId="0" fontId="3" fillId="14" borderId="8" xfId="0" applyFont="1" applyFill="1" applyBorder="1" applyAlignment="1">
      <alignment horizontal="left"/>
    </xf>
    <xf numFmtId="0" fontId="3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readingOrder="1"/>
    </xf>
    <xf numFmtId="0" fontId="10" fillId="2" borderId="6" xfId="0" applyFont="1" applyFill="1" applyBorder="1" applyAlignment="1">
      <alignment horizontal="center" vertical="center" readingOrder="1"/>
    </xf>
    <xf numFmtId="0" fontId="10" fillId="2" borderId="7" xfId="0" applyFont="1" applyFill="1" applyBorder="1" applyAlignment="1">
      <alignment horizontal="center" vertical="center" readingOrder="1"/>
    </xf>
    <xf numFmtId="0" fontId="12" fillId="7" borderId="16" xfId="0" applyFont="1" applyFill="1" applyBorder="1" applyAlignment="1">
      <alignment horizontal="center" vertical="center" wrapText="1" readingOrder="1"/>
    </xf>
    <xf numFmtId="0" fontId="12" fillId="7" borderId="17" xfId="0" applyFont="1" applyFill="1" applyBorder="1" applyAlignment="1">
      <alignment horizontal="center" vertical="center" wrapText="1" readingOrder="1"/>
    </xf>
    <xf numFmtId="0" fontId="16" fillId="7" borderId="16" xfId="0" applyFont="1" applyFill="1" applyBorder="1" applyAlignment="1">
      <alignment horizontal="center" vertical="center" wrapText="1" readingOrder="1"/>
    </xf>
    <xf numFmtId="0" fontId="16" fillId="7" borderId="17" xfId="0" applyFont="1" applyFill="1" applyBorder="1" applyAlignment="1">
      <alignment horizontal="center" vertical="center" wrapText="1" readingOrder="1"/>
    </xf>
    <xf numFmtId="0" fontId="16" fillId="7" borderId="29" xfId="0" applyFont="1" applyFill="1" applyBorder="1" applyAlignment="1">
      <alignment horizontal="center" vertical="center" wrapText="1" readingOrder="1"/>
    </xf>
    <xf numFmtId="0" fontId="18" fillId="9" borderId="0" xfId="2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7" borderId="1" xfId="0" applyFont="1" applyFill="1" applyBorder="1" applyAlignment="1">
      <alignment horizontal="center" vertical="center" readingOrder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 readingOrder="1"/>
    </xf>
    <xf numFmtId="0" fontId="16" fillId="7" borderId="17" xfId="0" applyFont="1" applyFill="1" applyBorder="1" applyAlignment="1">
      <alignment horizontal="center" vertical="center" readingOrder="1"/>
    </xf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13" fillId="7" borderId="16" xfId="0" applyFont="1" applyFill="1" applyBorder="1" applyAlignment="1">
      <alignment horizontal="center" vertical="center" wrapText="1" readingOrder="1"/>
    </xf>
    <xf numFmtId="0" fontId="13" fillId="7" borderId="17" xfId="0" applyFont="1" applyFill="1" applyBorder="1" applyAlignment="1">
      <alignment horizontal="center" vertical="center" wrapText="1" readingOrder="1"/>
    </xf>
    <xf numFmtId="0" fontId="19" fillId="9" borderId="0" xfId="2" applyFont="1" applyFill="1" applyAlignment="1">
      <alignment horizontal="center"/>
    </xf>
    <xf numFmtId="0" fontId="3" fillId="10" borderId="8" xfId="4" applyFont="1" applyFill="1" applyBorder="1" applyAlignment="1">
      <alignment horizontal="center"/>
    </xf>
    <xf numFmtId="0" fontId="1" fillId="9" borderId="8" xfId="4" applyFont="1" applyFill="1" applyBorder="1" applyAlignment="1">
      <alignment horizontal="center"/>
    </xf>
    <xf numFmtId="0" fontId="23" fillId="9" borderId="8" xfId="4" applyFont="1" applyFill="1" applyBorder="1" applyAlignment="1">
      <alignment horizontal="center"/>
    </xf>
    <xf numFmtId="0" fontId="22" fillId="10" borderId="10" xfId="2" applyFont="1" applyFill="1" applyBorder="1" applyAlignment="1">
      <alignment horizontal="center"/>
    </xf>
    <xf numFmtId="0" fontId="22" fillId="10" borderId="12" xfId="2" applyFont="1" applyFill="1" applyBorder="1" applyAlignment="1">
      <alignment horizontal="center"/>
    </xf>
    <xf numFmtId="0" fontId="22" fillId="10" borderId="11" xfId="2" applyFont="1" applyFill="1" applyBorder="1" applyAlignment="1">
      <alignment horizontal="center"/>
    </xf>
    <xf numFmtId="0" fontId="3" fillId="11" borderId="10" xfId="2" applyFont="1" applyFill="1" applyBorder="1" applyAlignment="1">
      <alignment horizontal="center"/>
    </xf>
    <xf numFmtId="0" fontId="3" fillId="11" borderId="11" xfId="2" applyFont="1" applyFill="1" applyBorder="1" applyAlignment="1">
      <alignment horizontal="center"/>
    </xf>
    <xf numFmtId="0" fontId="28" fillId="9" borderId="8" xfId="3" applyFont="1" applyFill="1" applyBorder="1" applyAlignment="1">
      <alignment horizontal="center" vertical="center"/>
    </xf>
    <xf numFmtId="0" fontId="2" fillId="13" borderId="10" xfId="4" applyFont="1" applyFill="1" applyBorder="1" applyAlignment="1">
      <alignment horizontal="center"/>
    </xf>
    <xf numFmtId="0" fontId="2" fillId="13" borderId="11" xfId="4" applyFont="1" applyFill="1" applyBorder="1" applyAlignment="1">
      <alignment horizontal="center"/>
    </xf>
    <xf numFmtId="0" fontId="2" fillId="13" borderId="12" xfId="4" applyFont="1" applyFill="1" applyBorder="1" applyAlignment="1">
      <alignment horizontal="center"/>
    </xf>
    <xf numFmtId="0" fontId="33" fillId="9" borderId="8" xfId="4" applyFont="1" applyFill="1" applyBorder="1" applyAlignment="1">
      <alignment horizontal="center"/>
    </xf>
    <xf numFmtId="0" fontId="27" fillId="9" borderId="8" xfId="3" applyFont="1" applyFill="1" applyBorder="1" applyAlignment="1">
      <alignment horizontal="center" vertical="center"/>
    </xf>
    <xf numFmtId="0" fontId="26" fillId="11" borderId="8" xfId="3" applyFont="1" applyFill="1" applyBorder="1" applyAlignment="1">
      <alignment horizontal="center" vertical="center"/>
    </xf>
    <xf numFmtId="0" fontId="26" fillId="10" borderId="8" xfId="3" applyFont="1" applyFill="1" applyBorder="1" applyAlignment="1">
      <alignment horizontal="center" vertical="center"/>
    </xf>
    <xf numFmtId="0" fontId="27" fillId="11" borderId="8" xfId="3" applyFont="1" applyFill="1" applyBorder="1" applyAlignment="1">
      <alignment horizontal="center" vertical="center"/>
    </xf>
    <xf numFmtId="0" fontId="27" fillId="10" borderId="8" xfId="3" applyFont="1" applyFill="1" applyBorder="1" applyAlignment="1">
      <alignment horizontal="center" vertical="center"/>
    </xf>
    <xf numFmtId="0" fontId="22" fillId="10" borderId="8" xfId="2" applyFont="1" applyFill="1" applyBorder="1" applyAlignment="1">
      <alignment horizontal="center"/>
    </xf>
  </cellXfs>
  <cellStyles count="6">
    <cellStyle name="Hyperlink 2" xfId="5" xr:uid="{6A55CF76-73B2-41B1-B401-B5300528AB8B}"/>
    <cellStyle name="Normal" xfId="0" builtinId="0"/>
    <cellStyle name="Normal 2" xfId="2" xr:uid="{E48ABC05-3381-4D5C-A4C9-ACDF50649C97}"/>
    <cellStyle name="Normal 2 2" xfId="4" xr:uid="{A4D3BAAC-7ECD-4C31-BE87-60D4B80CB593}"/>
    <cellStyle name="Percent" xfId="1" builtinId="5"/>
    <cellStyle name="常规 2" xfId="3" xr:uid="{B72BB521-652F-4083-9874-BBE0E802159A}"/>
  </cellStyles>
  <dxfs count="2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33CC3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13</xdr:row>
      <xdr:rowOff>428</xdr:rowOff>
    </xdr:from>
    <xdr:to>
      <xdr:col>9</xdr:col>
      <xdr:colOff>216258</xdr:colOff>
      <xdr:row>29</xdr:row>
      <xdr:rowOff>102070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0" y="3063668"/>
          <a:ext cx="4209138" cy="3027722"/>
        </a:xfrm>
        <a:prstGeom prst="rect">
          <a:avLst/>
        </a:prstGeom>
      </xdr:spPr>
    </xdr:pic>
    <xdr:clientData/>
  </xdr:twoCellAnchor>
  <xdr:twoCellAnchor editAs="oneCell">
    <xdr:from>
      <xdr:col>4</xdr:col>
      <xdr:colOff>144780</xdr:colOff>
      <xdr:row>4</xdr:row>
      <xdr:rowOff>38458</xdr:rowOff>
    </xdr:from>
    <xdr:to>
      <xdr:col>13</xdr:col>
      <xdr:colOff>324289</xdr:colOff>
      <xdr:row>12</xdr:row>
      <xdr:rowOff>20703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7180" y="1455778"/>
          <a:ext cx="8431969" cy="14452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105830</xdr:rowOff>
    </xdr:from>
    <xdr:to>
      <xdr:col>17</xdr:col>
      <xdr:colOff>619125</xdr:colOff>
      <xdr:row>37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90500" y="105830"/>
          <a:ext cx="14521143" cy="6761135"/>
        </a:xfrm>
        <a:prstGeom prst="rect">
          <a:avLst/>
        </a:prstGeom>
        <a:noFill/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321469</xdr:colOff>
      <xdr:row>10</xdr:row>
      <xdr:rowOff>0</xdr:rowOff>
    </xdr:from>
    <xdr:to>
      <xdr:col>36</xdr:col>
      <xdr:colOff>250447</xdr:colOff>
      <xdr:row>11</xdr:row>
      <xdr:rowOff>71052</xdr:rowOff>
    </xdr:to>
    <xdr:sp macro="" textlink="">
      <xdr:nvSpPr>
        <xdr:cNvPr id="6" name="TextBox 12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20727829" y="6285547"/>
          <a:ext cx="6802218" cy="1550285"/>
        </a:xfrm>
        <a:prstGeom prst="rect">
          <a:avLst/>
        </a:prstGeom>
        <a:solidFill>
          <a:schemeClr val="bg1"/>
        </a:solidFill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/>
            <a:t>I derived the below equations for the NR-ARFCN to GSCN direct conversion(without Ssref/Fref). Sharing here as it may help the others in need of this:-</a:t>
          </a:r>
        </a:p>
        <a:p>
          <a:endParaRPr lang="en-US" sz="800"/>
        </a:p>
        <a:p>
          <a:r>
            <a:rPr lang="en-US" sz="800"/>
            <a:t>1. For &gt;3GHz to 24Ghz band:-</a:t>
          </a:r>
        </a:p>
        <a:p>
          <a:r>
            <a:rPr lang="en-US" sz="800"/>
            <a:t>GSCN(7499+N) = 7499+((ARFCN-600000)*15KHz)/1.44MHz</a:t>
          </a:r>
        </a:p>
        <a:p>
          <a:r>
            <a:rPr lang="en-US" sz="800"/>
            <a:t>2. For &lt;3GHz band GSCN formula is :-</a:t>
          </a:r>
        </a:p>
        <a:p>
          <a:r>
            <a:rPr lang="en-US" sz="800"/>
            <a:t>For, M=1(3N-1); {3*(ARFCN*(0.005)-0.05))/1.2}-1</a:t>
          </a:r>
        </a:p>
        <a:p>
          <a:r>
            <a:rPr lang="en-US" sz="800"/>
            <a:t>M=3(3N); 3*(ARFCN*(0.005)-0.15))/1.2</a:t>
          </a:r>
        </a:p>
        <a:p>
          <a:r>
            <a:rPr lang="en-US" sz="800"/>
            <a:t>M=5(3N+1); {3*(ARFCN*(0.005)-0.25))/1.2}+1</a:t>
          </a:r>
        </a:p>
        <a:p>
          <a:endParaRPr lang="en-US" sz="800"/>
        </a:p>
        <a:p>
          <a:r>
            <a:rPr lang="en-US" sz="800"/>
            <a:t>The above equations can be used to extrapolate the GSCN number from ARFCN directly. You may not use the look up table in your stack.</a:t>
          </a:r>
        </a:p>
      </xdr:txBody>
    </xdr:sp>
    <xdr:clientData/>
  </xdr:twoCellAnchor>
  <xdr:twoCellAnchor editAs="oneCell">
    <xdr:from>
      <xdr:col>18</xdr:col>
      <xdr:colOff>290512</xdr:colOff>
      <xdr:row>1</xdr:row>
      <xdr:rowOff>14286</xdr:rowOff>
    </xdr:from>
    <xdr:to>
      <xdr:col>25</xdr:col>
      <xdr:colOff>214172</xdr:colOff>
      <xdr:row>3</xdr:row>
      <xdr:rowOff>175226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25487" y="195261"/>
          <a:ext cx="4324210" cy="52289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</xdr:colOff>
          <xdr:row>14</xdr:row>
          <xdr:rowOff>99060</xdr:rowOff>
        </xdr:from>
        <xdr:to>
          <xdr:col>17</xdr:col>
          <xdr:colOff>205740</xdr:colOff>
          <xdr:row>17</xdr:row>
          <xdr:rowOff>76200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7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15240</xdr:rowOff>
    </xdr:from>
    <xdr:to>
      <xdr:col>3</xdr:col>
      <xdr:colOff>0</xdr:colOff>
      <xdr:row>11</xdr:row>
      <xdr:rowOff>83820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>
          <a:off x="1828800" y="1295400"/>
          <a:ext cx="0" cy="800100"/>
        </a:xfrm>
        <a:prstGeom prst="line">
          <a:avLst/>
        </a:prstGeom>
        <a:ln w="381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152400</xdr:colOff>
      <xdr:row>6</xdr:row>
      <xdr:rowOff>167640</xdr:rowOff>
    </xdr:from>
    <xdr:to>
      <xdr:col>12</xdr:col>
      <xdr:colOff>152400</xdr:colOff>
      <xdr:row>11</xdr:row>
      <xdr:rowOff>53340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>
          <a:off x="3695700" y="1264920"/>
          <a:ext cx="0" cy="800100"/>
        </a:xfrm>
        <a:prstGeom prst="line">
          <a:avLst/>
        </a:prstGeom>
        <a:ln w="381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175260</xdr:colOff>
      <xdr:row>6</xdr:row>
      <xdr:rowOff>167640</xdr:rowOff>
    </xdr:from>
    <xdr:to>
      <xdr:col>33</xdr:col>
      <xdr:colOff>175260</xdr:colOff>
      <xdr:row>11</xdr:row>
      <xdr:rowOff>53340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CxnSpPr/>
      </xdr:nvCxnSpPr>
      <xdr:spPr>
        <a:xfrm>
          <a:off x="7719060" y="1264920"/>
          <a:ext cx="0" cy="800100"/>
        </a:xfrm>
        <a:prstGeom prst="line">
          <a:avLst/>
        </a:prstGeom>
        <a:ln w="381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152400</xdr:rowOff>
    </xdr:from>
    <xdr:to>
      <xdr:col>34</xdr:col>
      <xdr:colOff>30480</xdr:colOff>
      <xdr:row>10</xdr:row>
      <xdr:rowOff>175260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/>
      </xdr:nvCxnSpPr>
      <xdr:spPr>
        <a:xfrm flipV="1">
          <a:off x="3733800" y="1981200"/>
          <a:ext cx="4030980" cy="22860"/>
        </a:xfrm>
        <a:prstGeom prst="straightConnector1">
          <a:avLst/>
        </a:prstGeom>
        <a:ln w="28575">
          <a:solidFill>
            <a:schemeClr val="accent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106680</xdr:colOff>
      <xdr:row>11</xdr:row>
      <xdr:rowOff>30480</xdr:rowOff>
    </xdr:from>
    <xdr:to>
      <xdr:col>27</xdr:col>
      <xdr:colOff>152400</xdr:colOff>
      <xdr:row>12</xdr:row>
      <xdr:rowOff>121920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4983480" y="2042160"/>
          <a:ext cx="1569720" cy="274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SS/PBCH Block</a:t>
          </a:r>
        </a:p>
      </xdr:txBody>
    </xdr:sp>
    <xdr:clientData/>
  </xdr:twoCellAnchor>
  <xdr:twoCellAnchor>
    <xdr:from>
      <xdr:col>13</xdr:col>
      <xdr:colOff>182880</xdr:colOff>
      <xdr:row>8</xdr:row>
      <xdr:rowOff>137160</xdr:rowOff>
    </xdr:from>
    <xdr:to>
      <xdr:col>16</xdr:col>
      <xdr:colOff>160020</xdr:colOff>
      <xdr:row>9</xdr:row>
      <xdr:rowOff>160020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3916680" y="1600200"/>
          <a:ext cx="54864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b="1"/>
            <a:t>Point A</a:t>
          </a:r>
        </a:p>
      </xdr:txBody>
    </xdr:sp>
    <xdr:clientData/>
  </xdr:twoCellAnchor>
  <xdr:twoCellAnchor>
    <xdr:from>
      <xdr:col>3</xdr:col>
      <xdr:colOff>30480</xdr:colOff>
      <xdr:row>10</xdr:row>
      <xdr:rowOff>175260</xdr:rowOff>
    </xdr:from>
    <xdr:to>
      <xdr:col>11</xdr:col>
      <xdr:colOff>15240</xdr:colOff>
      <xdr:row>10</xdr:row>
      <xdr:rowOff>175260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CxnSpPr/>
      </xdr:nvCxnSpPr>
      <xdr:spPr>
        <a:xfrm>
          <a:off x="1859280" y="2004060"/>
          <a:ext cx="1508760" cy="0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121920</xdr:colOff>
      <xdr:row>11</xdr:row>
      <xdr:rowOff>76200</xdr:rowOff>
    </xdr:from>
    <xdr:to>
      <xdr:col>11</xdr:col>
      <xdr:colOff>167640</xdr:colOff>
      <xdr:row>13</xdr:row>
      <xdr:rowOff>129540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1950720" y="2087880"/>
          <a:ext cx="1569720" cy="419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/>
            <a:t>Common</a:t>
          </a:r>
          <a:r>
            <a:rPr lang="en-US" sz="1000" b="1" baseline="0"/>
            <a:t> Resource </a:t>
          </a:r>
        </a:p>
        <a:p>
          <a:pPr algn="ctr"/>
          <a:r>
            <a:rPr lang="en-US" sz="1000" b="1" baseline="0"/>
            <a:t>Block Grid</a:t>
          </a:r>
          <a:endParaRPr lang="en-US" sz="1000" b="1"/>
        </a:p>
      </xdr:txBody>
    </xdr:sp>
    <xdr:clientData/>
  </xdr:twoCellAnchor>
  <xdr:twoCellAnchor>
    <xdr:from>
      <xdr:col>2</xdr:col>
      <xdr:colOff>594360</xdr:colOff>
      <xdr:row>9</xdr:row>
      <xdr:rowOff>99060</xdr:rowOff>
    </xdr:from>
    <xdr:to>
      <xdr:col>12</xdr:col>
      <xdr:colOff>182880</xdr:colOff>
      <xdr:row>9</xdr:row>
      <xdr:rowOff>99060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CxnSpPr/>
      </xdr:nvCxnSpPr>
      <xdr:spPr>
        <a:xfrm>
          <a:off x="1813560" y="1744980"/>
          <a:ext cx="1912620" cy="0"/>
        </a:xfrm>
        <a:prstGeom prst="straightConnector1">
          <a:avLst/>
        </a:prstGeom>
        <a:ln w="28575">
          <a:solidFill>
            <a:schemeClr val="accent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144780</xdr:colOff>
      <xdr:row>8</xdr:row>
      <xdr:rowOff>167640</xdr:rowOff>
    </xdr:from>
    <xdr:to>
      <xdr:col>12</xdr:col>
      <xdr:colOff>0</xdr:colOff>
      <xdr:row>10</xdr:row>
      <xdr:rowOff>99060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/>
      </xdr:nvSpPr>
      <xdr:spPr>
        <a:xfrm>
          <a:off x="1973580" y="1630680"/>
          <a:ext cx="1569720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/>
            <a:t>Offset to PointA</a:t>
          </a:r>
        </a:p>
      </xdr:txBody>
    </xdr:sp>
    <xdr:clientData/>
  </xdr:twoCellAnchor>
  <xdr:twoCellAnchor>
    <xdr:from>
      <xdr:col>12</xdr:col>
      <xdr:colOff>152400</xdr:colOff>
      <xdr:row>4</xdr:row>
      <xdr:rowOff>129540</xdr:rowOff>
    </xdr:from>
    <xdr:to>
      <xdr:col>12</xdr:col>
      <xdr:colOff>152400</xdr:colOff>
      <xdr:row>7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CxnSpPr/>
      </xdr:nvCxnSpPr>
      <xdr:spPr>
        <a:xfrm>
          <a:off x="3695700" y="861060"/>
          <a:ext cx="0" cy="419100"/>
        </a:xfrm>
        <a:prstGeom prst="line">
          <a:avLst/>
        </a:prstGeom>
        <a:ln w="1905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</xdr:row>
      <xdr:rowOff>144780</xdr:rowOff>
    </xdr:from>
    <xdr:to>
      <xdr:col>13</xdr:col>
      <xdr:colOff>0</xdr:colOff>
      <xdr:row>7</xdr:row>
      <xdr:rowOff>15240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CxnSpPr/>
      </xdr:nvCxnSpPr>
      <xdr:spPr>
        <a:xfrm>
          <a:off x="3733800" y="876300"/>
          <a:ext cx="0" cy="419100"/>
        </a:xfrm>
        <a:prstGeom prst="line">
          <a:avLst/>
        </a:prstGeom>
        <a:ln w="1905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129540</xdr:colOff>
      <xdr:row>3</xdr:row>
      <xdr:rowOff>106680</xdr:rowOff>
    </xdr:from>
    <xdr:to>
      <xdr:col>13</xdr:col>
      <xdr:colOff>167640</xdr:colOff>
      <xdr:row>4</xdr:row>
      <xdr:rowOff>91440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3482340" y="655320"/>
          <a:ext cx="419100" cy="167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="1"/>
            <a:t>kSSB</a:t>
          </a:r>
        </a:p>
      </xdr:txBody>
    </xdr:sp>
    <xdr:clientData/>
  </xdr:twoCellAnchor>
  <xdr:twoCellAnchor>
    <xdr:from>
      <xdr:col>2</xdr:col>
      <xdr:colOff>441960</xdr:colOff>
      <xdr:row>6</xdr:row>
      <xdr:rowOff>0</xdr:rowOff>
    </xdr:from>
    <xdr:to>
      <xdr:col>3</xdr:col>
      <xdr:colOff>45720</xdr:colOff>
      <xdr:row>7</xdr:row>
      <xdr:rowOff>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CxnSpPr/>
      </xdr:nvCxnSpPr>
      <xdr:spPr>
        <a:xfrm>
          <a:off x="1661160" y="1097280"/>
          <a:ext cx="213360" cy="1828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274320</xdr:colOff>
      <xdr:row>4</xdr:row>
      <xdr:rowOff>60960</xdr:rowOff>
    </xdr:from>
    <xdr:to>
      <xdr:col>4</xdr:col>
      <xdr:colOff>22860</xdr:colOff>
      <xdr:row>5</xdr:row>
      <xdr:rowOff>83820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1493520" y="792480"/>
          <a:ext cx="54864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b="1"/>
            <a:t>CRB0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Excel_Worksheet.xlsx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DD5E-8935-4792-94B1-E8F19F4645D2}">
  <dimension ref="A1:L24"/>
  <sheetViews>
    <sheetView zoomScaleNormal="100" workbookViewId="0">
      <selection activeCell="C10" sqref="C10"/>
    </sheetView>
  </sheetViews>
  <sheetFormatPr defaultRowHeight="14.4"/>
  <cols>
    <col min="1" max="1" width="13.6640625" bestFit="1" customWidth="1"/>
    <col min="2" max="2" width="26.21875" customWidth="1"/>
    <col min="3" max="3" width="4" bestFit="1" customWidth="1"/>
    <col min="6" max="6" width="28.21875" customWidth="1"/>
    <col min="12" max="12" width="29.88671875" customWidth="1"/>
  </cols>
  <sheetData>
    <row r="1" spans="1:12" ht="68.400000000000006" customHeight="1">
      <c r="A1" s="5" t="s">
        <v>33</v>
      </c>
      <c r="B1" s="5" t="s">
        <v>35</v>
      </c>
      <c r="C1" s="5" t="s">
        <v>30</v>
      </c>
      <c r="F1" s="54" t="s">
        <v>32</v>
      </c>
      <c r="G1" s="55" t="s">
        <v>136</v>
      </c>
      <c r="H1" s="55"/>
      <c r="I1" s="55"/>
      <c r="J1" s="55"/>
      <c r="K1" s="55"/>
      <c r="L1" s="55"/>
    </row>
    <row r="2" spans="1:12">
      <c r="A2" s="4" t="s">
        <v>0</v>
      </c>
      <c r="B2" s="4" t="s">
        <v>39</v>
      </c>
      <c r="C2" s="4">
        <v>127</v>
      </c>
      <c r="F2" s="54"/>
      <c r="G2" s="55"/>
      <c r="H2" s="55"/>
      <c r="I2" s="55"/>
      <c r="J2" s="55"/>
      <c r="K2" s="55"/>
      <c r="L2" s="55"/>
    </row>
    <row r="3" spans="1:12">
      <c r="A3" s="4" t="s">
        <v>1</v>
      </c>
      <c r="B3" s="4" t="s">
        <v>39</v>
      </c>
      <c r="C3" s="4">
        <v>127</v>
      </c>
      <c r="F3" s="54"/>
      <c r="G3" s="55"/>
      <c r="H3" s="55"/>
      <c r="I3" s="55"/>
      <c r="J3" s="55"/>
      <c r="K3" s="55"/>
      <c r="L3" s="55"/>
    </row>
    <row r="4" spans="1:12">
      <c r="A4" s="4" t="s">
        <v>2</v>
      </c>
      <c r="B4" s="4" t="s">
        <v>39</v>
      </c>
      <c r="C4" s="4">
        <f>(20+4)*12*2</f>
        <v>576</v>
      </c>
      <c r="F4" s="54"/>
      <c r="G4" s="55"/>
      <c r="H4" s="55"/>
      <c r="I4" s="55"/>
      <c r="J4" s="55"/>
      <c r="K4" s="55"/>
      <c r="L4" s="55"/>
    </row>
    <row r="5" spans="1:12">
      <c r="A5" s="4" t="s">
        <v>43</v>
      </c>
      <c r="B5" s="4" t="s">
        <v>39</v>
      </c>
      <c r="C5" s="3">
        <f>(9+8)*2</f>
        <v>34</v>
      </c>
      <c r="G5" s="17"/>
      <c r="H5" s="17"/>
      <c r="I5" s="17"/>
      <c r="J5" s="17"/>
      <c r="K5" s="17"/>
      <c r="L5" s="17"/>
    </row>
    <row r="6" spans="1:12">
      <c r="A6" s="4" t="s">
        <v>9</v>
      </c>
      <c r="B6" s="3" t="s">
        <v>38</v>
      </c>
      <c r="C6" s="3">
        <v>14</v>
      </c>
    </row>
    <row r="7" spans="1:12">
      <c r="A7" s="5" t="s">
        <v>34</v>
      </c>
      <c r="B7" s="5" t="s">
        <v>3</v>
      </c>
      <c r="C7" s="5" t="s">
        <v>30</v>
      </c>
    </row>
    <row r="8" spans="1:12">
      <c r="A8" s="4" t="s">
        <v>4</v>
      </c>
      <c r="B8" s="18" t="s">
        <v>25</v>
      </c>
      <c r="C8" s="3" t="str">
        <f>LEFT(B8,2)</f>
        <v>30</v>
      </c>
    </row>
    <row r="9" spans="1:12">
      <c r="A9" s="4" t="s">
        <v>10</v>
      </c>
      <c r="B9" s="19" t="s">
        <v>17</v>
      </c>
      <c r="C9" s="3" t="str">
        <f>LEFT(B9,3)</f>
        <v xml:space="preserve">40 </v>
      </c>
    </row>
    <row r="10" spans="1:12">
      <c r="A10" s="4" t="s">
        <v>27</v>
      </c>
      <c r="B10" s="3" t="s">
        <v>36</v>
      </c>
      <c r="C10" s="3">
        <f>INDEX(References!$B$2:$M$4,MATCH('Overhead calculation'!$B$8,References!$A$2:$A$4,0),MATCH('Overhead calculation'!$B$9,References!$B$1:$M$1,0))</f>
        <v>106</v>
      </c>
    </row>
    <row r="11" spans="1:12">
      <c r="A11" s="48" t="s">
        <v>8</v>
      </c>
      <c r="B11" s="49" t="s">
        <v>37</v>
      </c>
      <c r="C11" s="49">
        <f>VLOOKUP($B$8,References!$A$11:$D$17,4,0)</f>
        <v>20</v>
      </c>
    </row>
    <row r="12" spans="1:12">
      <c r="A12" s="4" t="s">
        <v>41</v>
      </c>
      <c r="B12" s="3" t="s">
        <v>42</v>
      </c>
      <c r="C12" s="3">
        <v>8</v>
      </c>
    </row>
    <row r="14" spans="1:12">
      <c r="A14" s="14" t="s">
        <v>31</v>
      </c>
      <c r="B14" s="16">
        <f>(SUM(C2:C5)*C12)/(C10*12*C11*C6)</f>
        <v>1.9407008086253369E-2</v>
      </c>
    </row>
    <row r="16" spans="1:12">
      <c r="B16">
        <f>1.94</f>
        <v>1.94</v>
      </c>
    </row>
    <row r="18" spans="2:6">
      <c r="D18" s="15"/>
    </row>
    <row r="19" spans="2:6">
      <c r="B19" s="1"/>
    </row>
    <row r="24" spans="2:6">
      <c r="F24" s="1">
        <f>8*4</f>
        <v>32</v>
      </c>
    </row>
  </sheetData>
  <mergeCells count="2">
    <mergeCell ref="F1:F4"/>
    <mergeCell ref="G1:L4"/>
  </mergeCells>
  <dataValidations count="2">
    <dataValidation type="list" allowBlank="1" showInputMessage="1" showErrorMessage="1" sqref="C6" xr:uid="{D163E595-727E-4615-9716-87EB356E9A4D}">
      <formula1>"14"</formula1>
    </dataValidation>
    <dataValidation type="list" allowBlank="1" showInputMessage="1" showErrorMessage="1" sqref="C12" xr:uid="{51DB9375-7E68-4B32-B3F1-E0059D7C41B1}">
      <formula1>"1,2,4,8"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671D8C6-9FB7-4EE1-9DBE-8E3BEE270FA1}">
          <x14:formula1>
            <xm:f>References!$A$2:$A$4</xm:f>
          </x14:formula1>
          <xm:sqref>B8</xm:sqref>
        </x14:dataValidation>
        <x14:dataValidation type="list" allowBlank="1" showInputMessage="1" showErrorMessage="1" xr:uid="{541DCC2E-5DC7-460B-8E8D-B7D5ED71D316}">
          <x14:formula1>
            <xm:f>References!$XFD$1:$XFD$12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C287-B0C5-4D5B-8C0F-811917C25076}">
  <dimension ref="A1:XFD17"/>
  <sheetViews>
    <sheetView workbookViewId="0">
      <selection activeCell="M3" sqref="M3"/>
    </sheetView>
  </sheetViews>
  <sheetFormatPr defaultRowHeight="14.4"/>
  <cols>
    <col min="1" max="1" width="5.88671875" bestFit="1" customWidth="1"/>
    <col min="2" max="2" width="13.44140625" bestFit="1" customWidth="1"/>
    <col min="3" max="3" width="14.88671875" bestFit="1" customWidth="1"/>
    <col min="4" max="4" width="11.5546875" bestFit="1" customWidth="1"/>
    <col min="5" max="12" width="5.44140625" bestFit="1" customWidth="1"/>
    <col min="13" max="13" width="6.21875" bestFit="1" customWidth="1"/>
    <col min="16" max="16" width="6.21875" bestFit="1" customWidth="1"/>
    <col min="16384" max="16384" width="6.21875" bestFit="1" customWidth="1"/>
  </cols>
  <sheetData>
    <row r="1" spans="1:13 16384:16384" ht="15" thickBot="1">
      <c r="A1" s="9" t="s">
        <v>4</v>
      </c>
      <c r="B1" s="9" t="s">
        <v>11</v>
      </c>
      <c r="C1" s="9" t="s">
        <v>12</v>
      </c>
      <c r="D1" s="9" t="s">
        <v>13</v>
      </c>
      <c r="E1" s="9" t="s">
        <v>14</v>
      </c>
      <c r="F1" s="9" t="s">
        <v>15</v>
      </c>
      <c r="G1" s="9" t="s">
        <v>16</v>
      </c>
      <c r="H1" s="9" t="s">
        <v>17</v>
      </c>
      <c r="I1" s="9" t="s">
        <v>18</v>
      </c>
      <c r="J1" s="9" t="s">
        <v>19</v>
      </c>
      <c r="K1" s="9" t="s">
        <v>20</v>
      </c>
      <c r="L1" s="9" t="s">
        <v>21</v>
      </c>
      <c r="M1" s="9" t="s">
        <v>22</v>
      </c>
      <c r="XFD1" s="7" t="s">
        <v>11</v>
      </c>
    </row>
    <row r="2" spans="1:13 16384:16384" ht="15" thickBot="1">
      <c r="A2" s="10" t="s">
        <v>23</v>
      </c>
      <c r="B2" s="8">
        <v>25</v>
      </c>
      <c r="C2" s="8">
        <v>52</v>
      </c>
      <c r="D2" s="8">
        <v>79</v>
      </c>
      <c r="E2" s="8">
        <v>106</v>
      </c>
      <c r="F2" s="8">
        <v>133</v>
      </c>
      <c r="G2" s="8">
        <v>160</v>
      </c>
      <c r="H2" s="8">
        <v>216</v>
      </c>
      <c r="I2" s="8">
        <v>270</v>
      </c>
      <c r="J2" s="8" t="s">
        <v>24</v>
      </c>
      <c r="K2" s="8" t="s">
        <v>24</v>
      </c>
      <c r="L2" s="8" t="s">
        <v>24</v>
      </c>
      <c r="M2" s="8" t="s">
        <v>24</v>
      </c>
      <c r="XFD2" s="7" t="s">
        <v>12</v>
      </c>
    </row>
    <row r="3" spans="1:13 16384:16384" ht="15" thickBot="1">
      <c r="A3" s="10" t="s">
        <v>25</v>
      </c>
      <c r="B3" s="8">
        <v>11</v>
      </c>
      <c r="C3" s="8">
        <v>24</v>
      </c>
      <c r="D3" s="8">
        <v>38</v>
      </c>
      <c r="E3" s="8">
        <v>51</v>
      </c>
      <c r="F3" s="8">
        <v>65</v>
      </c>
      <c r="G3" s="8">
        <v>78</v>
      </c>
      <c r="H3" s="8">
        <v>106</v>
      </c>
      <c r="I3" s="8">
        <v>133</v>
      </c>
      <c r="J3" s="8">
        <v>162</v>
      </c>
      <c r="K3" s="8">
        <v>217</v>
      </c>
      <c r="L3" s="8">
        <v>245</v>
      </c>
      <c r="M3" s="8">
        <v>273</v>
      </c>
      <c r="XFD3" s="7" t="s">
        <v>13</v>
      </c>
    </row>
    <row r="4" spans="1:13 16384:16384" ht="15" thickBot="1">
      <c r="A4" s="10" t="s">
        <v>26</v>
      </c>
      <c r="B4" s="8" t="s">
        <v>24</v>
      </c>
      <c r="C4" s="8">
        <v>11</v>
      </c>
      <c r="D4" s="8">
        <v>18</v>
      </c>
      <c r="E4" s="8">
        <v>24</v>
      </c>
      <c r="F4" s="8">
        <v>31</v>
      </c>
      <c r="G4" s="8">
        <v>38</v>
      </c>
      <c r="H4" s="8">
        <v>51</v>
      </c>
      <c r="I4" s="8">
        <v>65</v>
      </c>
      <c r="J4" s="8">
        <v>79</v>
      </c>
      <c r="K4" s="8">
        <v>107</v>
      </c>
      <c r="L4" s="8">
        <v>121</v>
      </c>
      <c r="M4" s="8">
        <v>135</v>
      </c>
      <c r="XFD4" s="7" t="s">
        <v>14</v>
      </c>
    </row>
    <row r="5" spans="1:13 16384:16384" ht="15" thickBot="1">
      <c r="XFD5" s="7" t="s">
        <v>15</v>
      </c>
    </row>
    <row r="6" spans="1:13 16384:16384" ht="15" thickBot="1">
      <c r="XFD6" s="7" t="s">
        <v>16</v>
      </c>
    </row>
    <row r="7" spans="1:13 16384:16384" ht="15" thickBot="1">
      <c r="XFD7" s="7" t="s">
        <v>17</v>
      </c>
    </row>
    <row r="8" spans="1:13 16384:16384" ht="15" thickBot="1">
      <c r="XFD8" s="7" t="s">
        <v>18</v>
      </c>
    </row>
    <row r="9" spans="1:13 16384:16384" ht="15" thickBot="1">
      <c r="XFD9" s="7" t="s">
        <v>19</v>
      </c>
    </row>
    <row r="10" spans="1:13 16384:16384" ht="15" thickBot="1">
      <c r="XFD10" s="7" t="s">
        <v>20</v>
      </c>
    </row>
    <row r="11" spans="1:13 16384:16384" ht="15" thickBot="1">
      <c r="A11" s="11" t="s">
        <v>4</v>
      </c>
      <c r="B11" s="56" t="s">
        <v>6</v>
      </c>
      <c r="C11" s="57"/>
      <c r="D11" s="58"/>
      <c r="XFD11" s="7" t="s">
        <v>21</v>
      </c>
    </row>
    <row r="12" spans="1:13 16384:16384" ht="15" thickBot="1">
      <c r="A12" s="12" t="s">
        <v>5</v>
      </c>
      <c r="B12" s="13" t="s">
        <v>9</v>
      </c>
      <c r="C12" s="13" t="s">
        <v>7</v>
      </c>
      <c r="D12" s="13" t="s">
        <v>8</v>
      </c>
      <c r="XFD12" s="7" t="s">
        <v>22</v>
      </c>
    </row>
    <row r="13" spans="1:13 16384:16384" ht="15" thickBot="1">
      <c r="A13" s="10" t="s">
        <v>23</v>
      </c>
      <c r="B13" s="6">
        <v>14</v>
      </c>
      <c r="C13" s="6">
        <v>1</v>
      </c>
      <c r="D13" s="6">
        <v>10</v>
      </c>
    </row>
    <row r="14" spans="1:13 16384:16384" ht="15" thickBot="1">
      <c r="A14" s="10" t="s">
        <v>25</v>
      </c>
      <c r="B14" s="6">
        <v>14</v>
      </c>
      <c r="C14" s="6">
        <v>2</v>
      </c>
      <c r="D14" s="6">
        <v>20</v>
      </c>
    </row>
    <row r="15" spans="1:13 16384:16384" ht="15" thickBot="1">
      <c r="A15" s="10" t="s">
        <v>26</v>
      </c>
      <c r="B15" s="6">
        <v>14</v>
      </c>
      <c r="C15" s="6">
        <v>4</v>
      </c>
      <c r="D15" s="6">
        <v>40</v>
      </c>
    </row>
    <row r="16" spans="1:13 16384:16384" ht="15" thickBot="1">
      <c r="A16" s="10" t="s">
        <v>28</v>
      </c>
      <c r="B16" s="6">
        <v>14</v>
      </c>
      <c r="C16" s="6">
        <v>8</v>
      </c>
      <c r="D16" s="6">
        <v>80</v>
      </c>
    </row>
    <row r="17" spans="1:4" ht="15" thickBot="1">
      <c r="A17" s="10" t="s">
        <v>29</v>
      </c>
      <c r="B17" s="6">
        <v>14</v>
      </c>
      <c r="C17" s="6">
        <v>16</v>
      </c>
      <c r="D17" s="6">
        <v>160</v>
      </c>
    </row>
  </sheetData>
  <mergeCells count="1"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B3D48-30AF-439B-92E9-B3410D53676D}">
  <dimension ref="A1:T35"/>
  <sheetViews>
    <sheetView workbookViewId="0">
      <selection activeCell="L8" sqref="L8"/>
    </sheetView>
  </sheetViews>
  <sheetFormatPr defaultRowHeight="14.4"/>
  <cols>
    <col min="1" max="1" width="16" bestFit="1" customWidth="1"/>
    <col min="2" max="3" width="16.109375" bestFit="1" customWidth="1"/>
    <col min="4" max="4" width="10.6640625" bestFit="1" customWidth="1"/>
    <col min="5" max="5" width="18.88671875" bestFit="1" customWidth="1"/>
    <col min="8" max="8" width="16.109375" bestFit="1" customWidth="1"/>
    <col min="9" max="9" width="8.44140625" bestFit="1" customWidth="1"/>
    <col min="10" max="10" width="8.6640625" bestFit="1" customWidth="1"/>
    <col min="11" max="11" width="26" bestFit="1" customWidth="1"/>
    <col min="12" max="12" width="9.44140625" bestFit="1" customWidth="1"/>
    <col min="13" max="13" width="11.5546875" bestFit="1" customWidth="1"/>
    <col min="15" max="15" width="10.77734375" bestFit="1" customWidth="1"/>
    <col min="16" max="16" width="9" bestFit="1" customWidth="1"/>
  </cols>
  <sheetData>
    <row r="1" spans="1:20" ht="14.4" customHeight="1">
      <c r="A1" s="68" t="s">
        <v>107</v>
      </c>
      <c r="B1" s="69"/>
      <c r="C1" s="69"/>
      <c r="D1" s="69"/>
      <c r="E1" s="69"/>
      <c r="H1" s="75" t="s">
        <v>63</v>
      </c>
      <c r="I1" s="76"/>
      <c r="J1" s="76"/>
      <c r="K1" s="76"/>
      <c r="L1" s="76"/>
      <c r="M1" s="77"/>
      <c r="Q1" s="65" t="s">
        <v>69</v>
      </c>
      <c r="R1" s="65"/>
      <c r="S1" s="65"/>
      <c r="T1" s="65"/>
    </row>
    <row r="2" spans="1:20">
      <c r="A2" s="69"/>
      <c r="B2" s="69"/>
      <c r="C2" s="69"/>
      <c r="D2" s="69"/>
      <c r="E2" s="69"/>
      <c r="H2" s="78"/>
      <c r="I2" s="79"/>
      <c r="J2" s="79"/>
      <c r="K2" s="79"/>
      <c r="L2" s="79"/>
      <c r="M2" s="80"/>
    </row>
    <row r="3" spans="1:20">
      <c r="A3" s="69"/>
      <c r="B3" s="69"/>
      <c r="C3" s="69"/>
      <c r="D3" s="69"/>
      <c r="E3" s="69"/>
      <c r="H3" s="81"/>
      <c r="I3" s="82"/>
      <c r="J3" s="82"/>
      <c r="K3" s="82"/>
      <c r="L3" s="82"/>
      <c r="M3" s="83"/>
    </row>
    <row r="4" spans="1:20">
      <c r="A4" s="67" t="s">
        <v>106</v>
      </c>
      <c r="B4" s="67"/>
      <c r="C4" s="67"/>
      <c r="D4" s="67"/>
      <c r="E4" s="67"/>
      <c r="H4" s="72" t="s">
        <v>48</v>
      </c>
      <c r="I4" s="73"/>
      <c r="J4" s="73"/>
      <c r="K4" s="73"/>
      <c r="L4" s="73"/>
      <c r="M4" s="74"/>
      <c r="O4" s="22"/>
      <c r="P4" s="22" t="s">
        <v>67</v>
      </c>
    </row>
    <row r="5" spans="1:20" ht="14.4" customHeight="1">
      <c r="A5" s="59" t="s">
        <v>118</v>
      </c>
      <c r="B5" s="59" t="s">
        <v>117</v>
      </c>
      <c r="C5" s="84" t="s">
        <v>109</v>
      </c>
      <c r="D5" s="66" t="s">
        <v>44</v>
      </c>
      <c r="E5" s="59" t="s">
        <v>110</v>
      </c>
      <c r="H5" s="61" t="s">
        <v>112</v>
      </c>
      <c r="I5" s="61" t="s">
        <v>113</v>
      </c>
      <c r="J5" s="61" t="s">
        <v>114</v>
      </c>
      <c r="K5" s="61" t="s">
        <v>115</v>
      </c>
      <c r="L5" s="70" t="s">
        <v>49</v>
      </c>
      <c r="M5" s="61" t="s">
        <v>116</v>
      </c>
      <c r="O5" s="21" t="s">
        <v>50</v>
      </c>
      <c r="P5" s="2" t="s">
        <v>68</v>
      </c>
    </row>
    <row r="6" spans="1:20">
      <c r="A6" s="60"/>
      <c r="B6" s="60"/>
      <c r="C6" s="85"/>
      <c r="D6" s="66"/>
      <c r="E6" s="60"/>
      <c r="H6" s="62"/>
      <c r="I6" s="62"/>
      <c r="J6" s="62"/>
      <c r="K6" s="62"/>
      <c r="L6" s="71"/>
      <c r="M6" s="62"/>
      <c r="O6" s="21" t="s">
        <v>53</v>
      </c>
      <c r="P6" s="2" t="s">
        <v>70</v>
      </c>
    </row>
    <row r="7" spans="1:20">
      <c r="A7" s="20" t="s">
        <v>119</v>
      </c>
      <c r="B7" s="20">
        <v>5</v>
      </c>
      <c r="C7" s="20">
        <v>0</v>
      </c>
      <c r="D7" s="20">
        <v>0</v>
      </c>
      <c r="E7" s="20" t="s">
        <v>45</v>
      </c>
      <c r="H7" s="21" t="s">
        <v>50</v>
      </c>
      <c r="I7" s="37" t="s">
        <v>64</v>
      </c>
      <c r="J7" s="37" t="s">
        <v>65</v>
      </c>
      <c r="K7" s="21" t="s">
        <v>51</v>
      </c>
      <c r="L7" s="37" t="s">
        <v>52</v>
      </c>
      <c r="M7" s="37" t="s">
        <v>66</v>
      </c>
      <c r="O7" s="21" t="s">
        <v>58</v>
      </c>
      <c r="P7" s="2" t="s">
        <v>71</v>
      </c>
    </row>
    <row r="8" spans="1:20">
      <c r="A8" s="20" t="s">
        <v>120</v>
      </c>
      <c r="B8" s="20">
        <v>15</v>
      </c>
      <c r="C8" s="20">
        <v>3000</v>
      </c>
      <c r="D8" s="20">
        <v>600000</v>
      </c>
      <c r="E8" s="20" t="s">
        <v>46</v>
      </c>
      <c r="H8" s="21" t="s">
        <v>53</v>
      </c>
      <c r="I8" s="37" t="s">
        <v>54</v>
      </c>
      <c r="J8" s="21"/>
      <c r="K8" s="21" t="s">
        <v>55</v>
      </c>
      <c r="L8" s="37" t="s">
        <v>56</v>
      </c>
      <c r="M8" s="37" t="s">
        <v>57</v>
      </c>
    </row>
    <row r="9" spans="1:20">
      <c r="A9" s="20" t="s">
        <v>121</v>
      </c>
      <c r="B9" s="20">
        <v>60</v>
      </c>
      <c r="C9" s="20">
        <v>24250.080000000002</v>
      </c>
      <c r="D9" s="20">
        <v>2016667</v>
      </c>
      <c r="E9" s="20" t="s">
        <v>47</v>
      </c>
      <c r="H9" s="21" t="s">
        <v>58</v>
      </c>
      <c r="I9" s="37" t="s">
        <v>59</v>
      </c>
      <c r="J9" s="21"/>
      <c r="K9" s="21" t="s">
        <v>60</v>
      </c>
      <c r="L9" s="37" t="s">
        <v>61</v>
      </c>
      <c r="M9" s="37" t="s">
        <v>62</v>
      </c>
    </row>
    <row r="16" spans="1:20" ht="37.799999999999997" customHeight="1">
      <c r="B16" s="64" t="s">
        <v>128</v>
      </c>
      <c r="C16" s="64"/>
      <c r="D16" s="64"/>
    </row>
    <row r="17" spans="2:9">
      <c r="B17" s="61" t="s">
        <v>112</v>
      </c>
      <c r="C17" s="23"/>
      <c r="D17" s="23"/>
    </row>
    <row r="18" spans="2:9" ht="28.8">
      <c r="B18" s="63"/>
      <c r="C18" s="43" t="s">
        <v>131</v>
      </c>
      <c r="D18" s="39" t="s">
        <v>132</v>
      </c>
      <c r="E18" s="14" t="s">
        <v>134</v>
      </c>
      <c r="F18" t="s">
        <v>135</v>
      </c>
    </row>
    <row r="19" spans="2:9">
      <c r="B19" s="41" t="s">
        <v>50</v>
      </c>
      <c r="C19" s="38" t="s">
        <v>130</v>
      </c>
      <c r="D19" s="38">
        <v>25</v>
      </c>
      <c r="E19" s="44">
        <v>30</v>
      </c>
      <c r="F19" s="1">
        <f>25*12*15</f>
        <v>4500</v>
      </c>
      <c r="G19" s="1">
        <f>20*12*15</f>
        <v>3600</v>
      </c>
      <c r="H19" s="1">
        <f>F19-G19</f>
        <v>900</v>
      </c>
      <c r="I19" s="1">
        <f>H19/15</f>
        <v>60</v>
      </c>
    </row>
    <row r="20" spans="2:9">
      <c r="B20" s="41" t="s">
        <v>53</v>
      </c>
      <c r="C20" s="38" t="s">
        <v>129</v>
      </c>
      <c r="D20" s="38">
        <v>24</v>
      </c>
      <c r="E20" s="44">
        <v>30</v>
      </c>
    </row>
    <row r="21" spans="2:9">
      <c r="B21" s="41" t="s">
        <v>58</v>
      </c>
      <c r="C21" s="38" t="s">
        <v>133</v>
      </c>
      <c r="D21" s="38">
        <v>32</v>
      </c>
      <c r="E21" s="44">
        <v>120</v>
      </c>
      <c r="G21">
        <f>20*30*12</f>
        <v>7200</v>
      </c>
    </row>
    <row r="24" spans="2:9">
      <c r="B24" s="1">
        <v>3600</v>
      </c>
      <c r="C24" s="1">
        <f>B24/2</f>
        <v>1800</v>
      </c>
      <c r="D24">
        <f>B24-100</f>
        <v>3500</v>
      </c>
      <c r="E24">
        <f>C24-100</f>
        <v>1700</v>
      </c>
      <c r="F24">
        <v>100</v>
      </c>
      <c r="H24" s="1">
        <f>5*1000</f>
        <v>5000</v>
      </c>
      <c r="I24" s="1"/>
    </row>
    <row r="25" spans="2:9">
      <c r="D25">
        <f t="shared" ref="D25:D35" si="0">D24-F25</f>
        <v>3300</v>
      </c>
      <c r="E25" s="1">
        <f>E24-F25</f>
        <v>1500</v>
      </c>
      <c r="F25">
        <f t="shared" ref="F25:F35" si="1">F24+100</f>
        <v>200</v>
      </c>
      <c r="H25">
        <f t="shared" ref="H25:H35" si="2">H24+100</f>
        <v>5100</v>
      </c>
      <c r="I25" s="1"/>
    </row>
    <row r="26" spans="2:9">
      <c r="D26">
        <f t="shared" si="0"/>
        <v>3000</v>
      </c>
      <c r="E26" s="1">
        <f t="shared" ref="E26:E35" si="3">E25-F26</f>
        <v>1200</v>
      </c>
      <c r="F26">
        <f t="shared" si="1"/>
        <v>300</v>
      </c>
      <c r="H26">
        <f t="shared" si="2"/>
        <v>5200</v>
      </c>
      <c r="I26" s="1"/>
    </row>
    <row r="27" spans="2:9">
      <c r="D27">
        <f t="shared" si="0"/>
        <v>2600</v>
      </c>
      <c r="E27" s="1">
        <f t="shared" si="3"/>
        <v>800</v>
      </c>
      <c r="F27">
        <f t="shared" si="1"/>
        <v>400</v>
      </c>
      <c r="H27">
        <f t="shared" si="2"/>
        <v>5300</v>
      </c>
      <c r="I27" s="1"/>
    </row>
    <row r="28" spans="2:9">
      <c r="D28">
        <f t="shared" si="0"/>
        <v>2100</v>
      </c>
      <c r="E28" s="1">
        <f t="shared" si="3"/>
        <v>300</v>
      </c>
      <c r="F28">
        <f t="shared" si="1"/>
        <v>500</v>
      </c>
      <c r="H28">
        <f t="shared" si="2"/>
        <v>5400</v>
      </c>
      <c r="I28" s="1"/>
    </row>
    <row r="29" spans="2:9">
      <c r="D29">
        <f t="shared" si="0"/>
        <v>1500</v>
      </c>
      <c r="E29" s="1">
        <f t="shared" si="3"/>
        <v>-300</v>
      </c>
      <c r="F29">
        <f t="shared" si="1"/>
        <v>600</v>
      </c>
      <c r="H29">
        <f t="shared" si="2"/>
        <v>5500</v>
      </c>
      <c r="I29" s="1"/>
    </row>
    <row r="30" spans="2:9">
      <c r="D30">
        <f t="shared" si="0"/>
        <v>800</v>
      </c>
      <c r="E30" s="1">
        <f t="shared" si="3"/>
        <v>-1000</v>
      </c>
      <c r="F30">
        <f t="shared" si="1"/>
        <v>700</v>
      </c>
      <c r="H30">
        <f t="shared" si="2"/>
        <v>5600</v>
      </c>
      <c r="I30" s="1"/>
    </row>
    <row r="31" spans="2:9">
      <c r="D31">
        <f t="shared" si="0"/>
        <v>0</v>
      </c>
      <c r="E31" s="1">
        <f t="shared" si="3"/>
        <v>-1800</v>
      </c>
      <c r="F31">
        <f t="shared" si="1"/>
        <v>800</v>
      </c>
      <c r="H31">
        <f t="shared" si="2"/>
        <v>5700</v>
      </c>
      <c r="I31" s="1"/>
    </row>
    <row r="32" spans="2:9">
      <c r="D32">
        <f t="shared" si="0"/>
        <v>-900</v>
      </c>
      <c r="E32" s="1">
        <f t="shared" si="3"/>
        <v>-2700</v>
      </c>
      <c r="F32">
        <f t="shared" si="1"/>
        <v>900</v>
      </c>
      <c r="H32">
        <f t="shared" si="2"/>
        <v>5800</v>
      </c>
      <c r="I32" s="1"/>
    </row>
    <row r="33" spans="4:9">
      <c r="D33">
        <f t="shared" si="0"/>
        <v>-1900</v>
      </c>
      <c r="E33" s="1">
        <f t="shared" si="3"/>
        <v>-3700</v>
      </c>
      <c r="F33">
        <f t="shared" si="1"/>
        <v>1000</v>
      </c>
      <c r="H33">
        <f t="shared" si="2"/>
        <v>5900</v>
      </c>
      <c r="I33" s="1"/>
    </row>
    <row r="34" spans="4:9">
      <c r="D34">
        <f t="shared" si="0"/>
        <v>-3000</v>
      </c>
      <c r="E34" s="1">
        <f t="shared" si="3"/>
        <v>-4800</v>
      </c>
      <c r="F34">
        <f t="shared" si="1"/>
        <v>1100</v>
      </c>
      <c r="H34">
        <f t="shared" si="2"/>
        <v>6000</v>
      </c>
      <c r="I34" s="1"/>
    </row>
    <row r="35" spans="4:9">
      <c r="D35">
        <f t="shared" si="0"/>
        <v>-4200</v>
      </c>
      <c r="E35" s="1">
        <f t="shared" si="3"/>
        <v>-6000</v>
      </c>
      <c r="F35">
        <f t="shared" si="1"/>
        <v>1200</v>
      </c>
      <c r="H35">
        <f t="shared" si="2"/>
        <v>6100</v>
      </c>
      <c r="I35" s="1"/>
    </row>
  </sheetData>
  <mergeCells count="18">
    <mergeCell ref="Q1:T1"/>
    <mergeCell ref="D5:D6"/>
    <mergeCell ref="A4:E4"/>
    <mergeCell ref="A1:E3"/>
    <mergeCell ref="I5:I6"/>
    <mergeCell ref="J5:J6"/>
    <mergeCell ref="L5:L6"/>
    <mergeCell ref="H4:M4"/>
    <mergeCell ref="H1:M3"/>
    <mergeCell ref="A5:A6"/>
    <mergeCell ref="B5:B6"/>
    <mergeCell ref="C5:C6"/>
    <mergeCell ref="E5:E6"/>
    <mergeCell ref="H5:H6"/>
    <mergeCell ref="K5:K6"/>
    <mergeCell ref="M5:M6"/>
    <mergeCell ref="B17:B18"/>
    <mergeCell ref="B16:D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92B0-C4C5-40BF-A940-3842F210D91D}">
  <dimension ref="A1:AT30"/>
  <sheetViews>
    <sheetView tabSelected="1" zoomScale="85" zoomScaleNormal="85" workbookViewId="0">
      <selection activeCell="M11" sqref="M11:O11"/>
    </sheetView>
  </sheetViews>
  <sheetFormatPr defaultColWidth="9.109375" defaultRowHeight="14.4"/>
  <cols>
    <col min="1" max="1" width="3.88671875" style="23" customWidth="1"/>
    <col min="2" max="2" width="17.44140625" style="23" bestFit="1" customWidth="1"/>
    <col min="3" max="3" width="11.44140625" style="23" bestFit="1" customWidth="1"/>
    <col min="4" max="4" width="10.33203125" style="23" bestFit="1" customWidth="1"/>
    <col min="5" max="5" width="10.6640625" style="23" bestFit="1" customWidth="1"/>
    <col min="6" max="6" width="16.6640625" style="23" bestFit="1" customWidth="1"/>
    <col min="7" max="9" width="9.109375" style="23"/>
    <col min="10" max="10" width="12.109375" style="23" bestFit="1" customWidth="1"/>
    <col min="11" max="11" width="7.88671875" style="23" bestFit="1" customWidth="1"/>
    <col min="12" max="12" width="18.44140625" style="23" customWidth="1"/>
    <col min="13" max="13" width="26.109375" style="23" bestFit="1" customWidth="1"/>
    <col min="14" max="14" width="9.6640625" style="23" bestFit="1" customWidth="1"/>
    <col min="15" max="15" width="13.33203125" style="23" bestFit="1" customWidth="1"/>
    <col min="16" max="16" width="9.109375" style="23"/>
    <col min="17" max="17" width="10.77734375" style="23" bestFit="1" customWidth="1"/>
    <col min="18" max="26" width="9.109375" style="23"/>
    <col min="27" max="27" width="22.33203125" style="23" bestFit="1" customWidth="1"/>
    <col min="28" max="28" width="12.6640625" style="23" bestFit="1" customWidth="1"/>
    <col min="29" max="29" width="31.33203125" style="23" bestFit="1" customWidth="1"/>
    <col min="30" max="30" width="9.77734375" style="23" bestFit="1" customWidth="1"/>
    <col min="31" max="31" width="13.77734375" style="23" bestFit="1" customWidth="1"/>
    <col min="32" max="16384" width="9.109375" style="23"/>
  </cols>
  <sheetData>
    <row r="1" spans="2:46">
      <c r="AA1" s="25" t="s">
        <v>73</v>
      </c>
      <c r="AB1" s="25" t="s">
        <v>28</v>
      </c>
      <c r="AC1" s="25" t="s">
        <v>72</v>
      </c>
    </row>
    <row r="2" spans="2:46">
      <c r="C2" s="86" t="s">
        <v>74</v>
      </c>
      <c r="D2" s="86"/>
      <c r="E2" s="86"/>
      <c r="F2" s="86"/>
      <c r="K2" s="86" t="s">
        <v>104</v>
      </c>
      <c r="L2" s="86"/>
      <c r="M2" s="86"/>
      <c r="N2" s="86"/>
      <c r="O2" s="23" t="s">
        <v>105</v>
      </c>
      <c r="AA2" s="25" t="s">
        <v>75</v>
      </c>
      <c r="AB2" s="25" t="s">
        <v>28</v>
      </c>
      <c r="AC2" s="25" t="s">
        <v>72</v>
      </c>
    </row>
    <row r="4" spans="2:46" ht="15.6">
      <c r="B4" s="90" t="s">
        <v>76</v>
      </c>
      <c r="C4" s="91"/>
      <c r="D4" s="91"/>
      <c r="E4" s="91"/>
      <c r="F4" s="91"/>
      <c r="G4" s="92"/>
      <c r="H4" s="27"/>
      <c r="J4" s="87" t="s">
        <v>94</v>
      </c>
      <c r="K4" s="87"/>
      <c r="L4" s="87"/>
      <c r="M4" s="87"/>
      <c r="N4" s="87"/>
      <c r="O4" s="87"/>
      <c r="AA4" s="24" t="s">
        <v>78</v>
      </c>
      <c r="AB4" s="24" t="s">
        <v>79</v>
      </c>
      <c r="AC4" s="24" t="s">
        <v>80</v>
      </c>
      <c r="AD4" s="24" t="s">
        <v>81</v>
      </c>
    </row>
    <row r="5" spans="2:46">
      <c r="B5" s="101" t="s">
        <v>82</v>
      </c>
      <c r="C5" s="101"/>
      <c r="D5" s="101"/>
      <c r="E5" s="102" t="s">
        <v>83</v>
      </c>
      <c r="F5" s="102"/>
      <c r="G5" s="102"/>
      <c r="H5" s="27"/>
      <c r="J5" s="88" t="s">
        <v>95</v>
      </c>
      <c r="K5" s="88"/>
      <c r="L5" s="31">
        <f>IF(L9="0-3000",0.005,(IF(L9="3000-24250",0.015,0.06)))</f>
        <v>5.0000000000000001E-3</v>
      </c>
      <c r="M5" s="89" t="s">
        <v>96</v>
      </c>
      <c r="N5" s="89"/>
      <c r="O5" s="32">
        <f>IF(L9="0-3000",0.15,(IF(L9="3000-24250",3000,24250.08)))</f>
        <v>0.15</v>
      </c>
      <c r="AA5" s="25" t="s">
        <v>84</v>
      </c>
      <c r="AB5" s="25">
        <v>5.0000000000000001E-3</v>
      </c>
      <c r="AC5" s="25">
        <v>0</v>
      </c>
      <c r="AD5" s="25">
        <v>0</v>
      </c>
    </row>
    <row r="6" spans="2:46">
      <c r="B6" s="100">
        <v>650000</v>
      </c>
      <c r="C6" s="100"/>
      <c r="D6" s="100"/>
      <c r="E6" s="95">
        <f>IF(B6&lt;=600000,0+5*(B6-0),3000000+15*(B6-600000))</f>
        <v>3750000</v>
      </c>
      <c r="F6" s="95"/>
      <c r="G6" s="95"/>
      <c r="H6" s="27"/>
      <c r="J6" s="88" t="s">
        <v>97</v>
      </c>
      <c r="K6" s="88"/>
      <c r="L6" s="31">
        <f>IF(L9="0-3000",0,(IF(L9="0-14756",3000,24250.08)))</f>
        <v>0</v>
      </c>
      <c r="M6" s="89" t="s">
        <v>98</v>
      </c>
      <c r="N6" s="89"/>
      <c r="O6" s="32">
        <f>IF(L9="0-3000",1.2,(IF(L9="3000-24250",1.44,17.28)))</f>
        <v>1.2</v>
      </c>
      <c r="AA6" s="25" t="s">
        <v>85</v>
      </c>
      <c r="AB6" s="25">
        <v>1.4999999999999999E-2</v>
      </c>
      <c r="AC6" s="25">
        <v>3000</v>
      </c>
      <c r="AD6" s="25">
        <v>600000</v>
      </c>
    </row>
    <row r="7" spans="2:46">
      <c r="B7" s="101" t="s">
        <v>86</v>
      </c>
      <c r="C7" s="101"/>
      <c r="D7" s="101"/>
      <c r="E7" s="102" t="s">
        <v>87</v>
      </c>
      <c r="F7" s="102"/>
      <c r="G7" s="102"/>
      <c r="H7" s="27"/>
      <c r="J7" s="88" t="s">
        <v>92</v>
      </c>
      <c r="K7" s="88"/>
      <c r="L7" s="31">
        <f>IF(L9=1,0,(IF(L9=2,600000,2016667)))</f>
        <v>2016667</v>
      </c>
      <c r="M7" s="89" t="s">
        <v>99</v>
      </c>
      <c r="N7" s="89"/>
      <c r="O7" s="32">
        <f>IF(L9="0-3000",2,(IF(L9="3000-24250",7499,22256)))</f>
        <v>2</v>
      </c>
      <c r="AA7" s="25" t="s">
        <v>88</v>
      </c>
      <c r="AB7" s="25">
        <v>0.06</v>
      </c>
      <c r="AC7" s="25">
        <v>24250.080000000002</v>
      </c>
      <c r="AD7" s="25">
        <v>2016667</v>
      </c>
    </row>
    <row r="8" spans="2:46">
      <c r="B8" s="100">
        <v>3750000</v>
      </c>
      <c r="C8" s="100"/>
      <c r="D8" s="100"/>
      <c r="E8" s="95">
        <f>IF(B8&lt;=3000000,(B8-0)/5+0,(B8-3000000)/15+600000)</f>
        <v>650000</v>
      </c>
      <c r="F8" s="95"/>
      <c r="G8" s="95"/>
      <c r="H8" s="27"/>
      <c r="J8" s="93" t="s">
        <v>100</v>
      </c>
      <c r="K8" s="94"/>
      <c r="L8" s="33">
        <v>7497</v>
      </c>
      <c r="M8" s="89" t="s">
        <v>101</v>
      </c>
      <c r="N8" s="89"/>
      <c r="O8" s="34" t="str">
        <f>IF(L9="0-3000",IF((MOD(L8,3)=0),"OK","Invalid"),IF(L8&lt;26640,"OK","Invalid"))</f>
        <v>OK</v>
      </c>
    </row>
    <row r="9" spans="2:46" ht="15" thickBot="1">
      <c r="J9" s="88" t="s">
        <v>111</v>
      </c>
      <c r="K9" s="88"/>
      <c r="L9" s="35" t="str">
        <f>IF(L8&lt;7499,"0-3000",(IF(L8&lt;22256,"3000-24250","24250-100000")))</f>
        <v>0-3000</v>
      </c>
      <c r="M9" s="96" t="s">
        <v>102</v>
      </c>
      <c r="N9" s="97"/>
      <c r="O9" s="36">
        <f>IF(L9=1,(L8-O7)/3*O6+O5,(L8-O7)*O6+O5)</f>
        <v>8994.15</v>
      </c>
    </row>
    <row r="10" spans="2:46" ht="15" thickBot="1">
      <c r="J10" s="87" t="s">
        <v>103</v>
      </c>
      <c r="K10" s="87"/>
      <c r="L10" s="87"/>
      <c r="M10" s="87"/>
      <c r="N10" s="87"/>
      <c r="O10" s="87"/>
      <c r="AA10" s="28" t="s">
        <v>89</v>
      </c>
      <c r="AB10" s="29" t="s">
        <v>90</v>
      </c>
      <c r="AC10" s="29" t="s">
        <v>91</v>
      </c>
      <c r="AD10" s="29" t="s">
        <v>92</v>
      </c>
      <c r="AE10" s="30" t="s">
        <v>93</v>
      </c>
    </row>
    <row r="11" spans="2:46" ht="15.6">
      <c r="B11" s="105" t="s">
        <v>77</v>
      </c>
      <c r="C11" s="105"/>
      <c r="D11" s="105"/>
      <c r="E11" s="105"/>
      <c r="F11" s="105"/>
      <c r="G11" s="105"/>
      <c r="J11" s="96" t="s">
        <v>108</v>
      </c>
      <c r="K11" s="98"/>
      <c r="L11" s="97"/>
      <c r="M11" s="99">
        <f>(O9-L6)/L5+L7</f>
        <v>3815497</v>
      </c>
      <c r="N11" s="99"/>
      <c r="O11" s="99"/>
    </row>
    <row r="12" spans="2:46">
      <c r="B12" s="103" t="s">
        <v>82</v>
      </c>
      <c r="C12" s="103"/>
      <c r="D12" s="103"/>
      <c r="E12" s="104" t="s">
        <v>83</v>
      </c>
      <c r="F12" s="104"/>
      <c r="G12" s="104"/>
    </row>
    <row r="13" spans="2:46">
      <c r="B13" s="100">
        <v>2017819</v>
      </c>
      <c r="C13" s="100"/>
      <c r="D13" s="100"/>
      <c r="E13" s="95">
        <f>24250080+60*(B13-2016667)</f>
        <v>24319200</v>
      </c>
      <c r="F13" s="95"/>
      <c r="G13" s="95"/>
    </row>
    <row r="14" spans="2:46">
      <c r="B14" s="103" t="s">
        <v>86</v>
      </c>
      <c r="C14" s="103"/>
      <c r="D14" s="103"/>
      <c r="E14" s="104" t="s">
        <v>87</v>
      </c>
      <c r="F14" s="104"/>
      <c r="G14" s="104"/>
    </row>
    <row r="15" spans="2:46">
      <c r="B15" s="100">
        <v>24319200</v>
      </c>
      <c r="C15" s="100"/>
      <c r="D15" s="100"/>
      <c r="E15" s="95">
        <f>(B15-24250080)/60+2016667</f>
        <v>2017819</v>
      </c>
      <c r="F15" s="95"/>
      <c r="G15" s="95"/>
    </row>
    <row r="16" spans="2:46">
      <c r="Y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</row>
    <row r="17" spans="1:46" ht="14.4" customHeight="1">
      <c r="B17" s="68" t="s">
        <v>107</v>
      </c>
      <c r="C17" s="69"/>
      <c r="D17" s="69"/>
      <c r="E17" s="69"/>
      <c r="F17" s="69"/>
      <c r="J17" s="75" t="s">
        <v>63</v>
      </c>
      <c r="K17" s="76"/>
      <c r="L17" s="76"/>
      <c r="M17" s="76"/>
      <c r="N17" s="76"/>
      <c r="O17" s="77"/>
    </row>
    <row r="18" spans="1:46">
      <c r="B18" s="69"/>
      <c r="C18" s="69"/>
      <c r="D18" s="69"/>
      <c r="E18" s="69"/>
      <c r="F18" s="69"/>
      <c r="J18" s="78"/>
      <c r="K18" s="79"/>
      <c r="L18" s="79"/>
      <c r="M18" s="79"/>
      <c r="N18" s="79"/>
      <c r="O18" s="80"/>
    </row>
    <row r="19" spans="1:46">
      <c r="B19" s="69"/>
      <c r="C19" s="69"/>
      <c r="D19" s="69"/>
      <c r="E19" s="69"/>
      <c r="F19" s="69"/>
      <c r="J19" s="81"/>
      <c r="K19" s="82"/>
      <c r="L19" s="82"/>
      <c r="M19" s="82"/>
      <c r="N19" s="82"/>
      <c r="O19" s="83"/>
    </row>
    <row r="20" spans="1:46">
      <c r="A20" s="26"/>
      <c r="B20" s="67" t="s">
        <v>106</v>
      </c>
      <c r="C20" s="67"/>
      <c r="D20" s="67"/>
      <c r="E20" s="67"/>
      <c r="F20" s="67"/>
      <c r="G20" s="26"/>
      <c r="H20" s="26"/>
      <c r="I20" s="26"/>
      <c r="J20" s="72" t="s">
        <v>48</v>
      </c>
      <c r="K20" s="73"/>
      <c r="L20" s="73"/>
      <c r="M20" s="73"/>
      <c r="N20" s="73"/>
      <c r="O20" s="74"/>
    </row>
    <row r="21" spans="1:46">
      <c r="B21" s="59" t="s">
        <v>118</v>
      </c>
      <c r="C21" s="59" t="s">
        <v>117</v>
      </c>
      <c r="D21" s="84" t="s">
        <v>109</v>
      </c>
      <c r="E21" s="66" t="s">
        <v>44</v>
      </c>
      <c r="F21" s="59" t="s">
        <v>110</v>
      </c>
      <c r="J21" s="61" t="s">
        <v>112</v>
      </c>
      <c r="K21" s="61" t="s">
        <v>113</v>
      </c>
      <c r="L21" s="61" t="s">
        <v>114</v>
      </c>
      <c r="M21" s="61" t="s">
        <v>115</v>
      </c>
      <c r="N21" s="70" t="s">
        <v>49</v>
      </c>
      <c r="O21" s="61" t="s">
        <v>116</v>
      </c>
    </row>
    <row r="22" spans="1:46">
      <c r="B22" s="60"/>
      <c r="C22" s="60"/>
      <c r="D22" s="85"/>
      <c r="E22" s="66"/>
      <c r="F22" s="60"/>
      <c r="J22" s="62"/>
      <c r="K22" s="62"/>
      <c r="L22" s="62"/>
      <c r="M22" s="62"/>
      <c r="N22" s="71"/>
      <c r="O22" s="62"/>
      <c r="P22" s="26"/>
      <c r="Q22" s="22"/>
      <c r="R22" s="22" t="s">
        <v>67</v>
      </c>
    </row>
    <row r="23" spans="1:46">
      <c r="B23" s="20" t="s">
        <v>119</v>
      </c>
      <c r="C23" s="20">
        <v>5</v>
      </c>
      <c r="D23" s="20">
        <v>0</v>
      </c>
      <c r="E23" s="20">
        <v>0</v>
      </c>
      <c r="F23" s="20" t="s">
        <v>45</v>
      </c>
      <c r="J23" s="21" t="s">
        <v>50</v>
      </c>
      <c r="K23" s="37" t="s">
        <v>64</v>
      </c>
      <c r="L23" s="37" t="s">
        <v>65</v>
      </c>
      <c r="M23" s="21" t="s">
        <v>51</v>
      </c>
      <c r="N23" s="37" t="s">
        <v>52</v>
      </c>
      <c r="O23" s="37" t="s">
        <v>66</v>
      </c>
      <c r="Q23" s="21" t="s">
        <v>50</v>
      </c>
      <c r="R23" s="2" t="s">
        <v>68</v>
      </c>
    </row>
    <row r="24" spans="1:46" s="26" customFormat="1" ht="16.5" customHeight="1">
      <c r="A24" s="23"/>
      <c r="B24" s="20" t="s">
        <v>120</v>
      </c>
      <c r="C24" s="20">
        <v>15</v>
      </c>
      <c r="D24" s="20">
        <v>3000</v>
      </c>
      <c r="E24" s="20">
        <v>600000</v>
      </c>
      <c r="F24" s="20" t="s">
        <v>46</v>
      </c>
      <c r="G24" s="23"/>
      <c r="H24" s="23"/>
      <c r="I24" s="23"/>
      <c r="J24" s="21" t="s">
        <v>53</v>
      </c>
      <c r="K24" s="37" t="s">
        <v>54</v>
      </c>
      <c r="L24" s="21" t="s">
        <v>123</v>
      </c>
      <c r="M24" s="21" t="s">
        <v>55</v>
      </c>
      <c r="N24" s="37" t="s">
        <v>56</v>
      </c>
      <c r="O24" s="37" t="s">
        <v>57</v>
      </c>
      <c r="P24" s="23"/>
      <c r="Q24" s="21" t="s">
        <v>53</v>
      </c>
      <c r="R24" s="2" t="s">
        <v>70</v>
      </c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</row>
    <row r="25" spans="1:46">
      <c r="B25" s="20" t="s">
        <v>121</v>
      </c>
      <c r="C25" s="20">
        <v>60</v>
      </c>
      <c r="D25" s="20">
        <v>24250.080000000002</v>
      </c>
      <c r="E25" s="20">
        <v>2016667</v>
      </c>
      <c r="F25" s="20" t="s">
        <v>47</v>
      </c>
      <c r="J25" s="21" t="s">
        <v>58</v>
      </c>
      <c r="K25" s="37" t="s">
        <v>59</v>
      </c>
      <c r="L25" s="21" t="s">
        <v>123</v>
      </c>
      <c r="M25" s="21" t="s">
        <v>60</v>
      </c>
      <c r="N25" s="37" t="s">
        <v>61</v>
      </c>
      <c r="O25" s="37" t="s">
        <v>62</v>
      </c>
      <c r="Q25" s="21" t="s">
        <v>58</v>
      </c>
      <c r="R25" s="2" t="s">
        <v>71</v>
      </c>
    </row>
    <row r="26" spans="1:46">
      <c r="C26" s="59" t="s">
        <v>122</v>
      </c>
    </row>
    <row r="27" spans="1:46" ht="14.4" customHeight="1">
      <c r="C27" s="60"/>
      <c r="M27" s="42" t="s">
        <v>124</v>
      </c>
    </row>
    <row r="28" spans="1:46">
      <c r="B28" s="40" t="s">
        <v>119</v>
      </c>
      <c r="C28" s="38">
        <f>C23/1000</f>
        <v>5.0000000000000001E-3</v>
      </c>
      <c r="F28" s="23">
        <f>E24/1000</f>
        <v>600</v>
      </c>
      <c r="L28" s="41" t="s">
        <v>50</v>
      </c>
      <c r="M28" s="38" t="s">
        <v>125</v>
      </c>
      <c r="N28" s="38">
        <f>3*50/1000</f>
        <v>0.15</v>
      </c>
    </row>
    <row r="29" spans="1:46">
      <c r="B29" s="40" t="s">
        <v>120</v>
      </c>
      <c r="C29" s="38">
        <f>C24/1000</f>
        <v>1.4999999999999999E-2</v>
      </c>
      <c r="L29" s="41" t="s">
        <v>53</v>
      </c>
      <c r="M29" s="38" t="s">
        <v>126</v>
      </c>
      <c r="N29" s="38">
        <v>3000</v>
      </c>
    </row>
    <row r="30" spans="1:46">
      <c r="B30" s="40" t="s">
        <v>121</v>
      </c>
      <c r="C30" s="38">
        <f>C25/1000</f>
        <v>0.06</v>
      </c>
      <c r="L30" s="41" t="s">
        <v>58</v>
      </c>
      <c r="M30" s="38" t="s">
        <v>127</v>
      </c>
      <c r="N30" s="38">
        <v>24250.080000000002</v>
      </c>
    </row>
  </sheetData>
  <mergeCells count="50">
    <mergeCell ref="B15:D15"/>
    <mergeCell ref="E15:G15"/>
    <mergeCell ref="B5:D5"/>
    <mergeCell ref="E5:G5"/>
    <mergeCell ref="B12:D12"/>
    <mergeCell ref="E12:G12"/>
    <mergeCell ref="B6:D6"/>
    <mergeCell ref="E6:G6"/>
    <mergeCell ref="B13:D13"/>
    <mergeCell ref="E13:G13"/>
    <mergeCell ref="B11:G11"/>
    <mergeCell ref="B7:D7"/>
    <mergeCell ref="E7:G7"/>
    <mergeCell ref="B14:D14"/>
    <mergeCell ref="E14:G14"/>
    <mergeCell ref="B8:D8"/>
    <mergeCell ref="E8:G8"/>
    <mergeCell ref="J9:K9"/>
    <mergeCell ref="M9:N9"/>
    <mergeCell ref="J10:O10"/>
    <mergeCell ref="J11:L11"/>
    <mergeCell ref="M11:O11"/>
    <mergeCell ref="J6:K6"/>
    <mergeCell ref="M6:N6"/>
    <mergeCell ref="J7:K7"/>
    <mergeCell ref="M7:N7"/>
    <mergeCell ref="J8:K8"/>
    <mergeCell ref="M8:N8"/>
    <mergeCell ref="C2:F2"/>
    <mergeCell ref="K2:N2"/>
    <mergeCell ref="J4:O4"/>
    <mergeCell ref="J5:K5"/>
    <mergeCell ref="M5:N5"/>
    <mergeCell ref="B4:G4"/>
    <mergeCell ref="O21:O22"/>
    <mergeCell ref="C26:C27"/>
    <mergeCell ref="B17:F19"/>
    <mergeCell ref="B20:F20"/>
    <mergeCell ref="E21:E22"/>
    <mergeCell ref="J17:O19"/>
    <mergeCell ref="J20:O20"/>
    <mergeCell ref="K21:K22"/>
    <mergeCell ref="L21:L22"/>
    <mergeCell ref="N21:N22"/>
    <mergeCell ref="B21:B22"/>
    <mergeCell ref="C21:C22"/>
    <mergeCell ref="D21:D22"/>
    <mergeCell ref="F21:F22"/>
    <mergeCell ref="J21:J22"/>
    <mergeCell ref="M21:M22"/>
  </mergeCells>
  <conditionalFormatting sqref="O8">
    <cfRule type="cellIs" dxfId="1" priority="1" operator="equal">
      <formula>"OK"</formula>
    </cfRule>
    <cfRule type="cellIs" dxfId="0" priority="2" operator="equal">
      <formula>"Invalid"</formula>
    </cfRule>
  </conditionalFormatting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6146" r:id="rId4">
          <objectPr defaultSize="0" autoPict="0" r:id="rId5">
            <anchor moveWithCells="1">
              <from>
                <xdr:col>16</xdr:col>
                <xdr:colOff>7620</xdr:colOff>
                <xdr:row>14</xdr:row>
                <xdr:rowOff>99060</xdr:rowOff>
              </from>
              <to>
                <xdr:col>17</xdr:col>
                <xdr:colOff>205740</xdr:colOff>
                <xdr:row>17</xdr:row>
                <xdr:rowOff>76200</xdr:rowOff>
              </to>
            </anchor>
          </objectPr>
        </oleObject>
      </mc:Choice>
      <mc:Fallback>
        <oleObject progId="Worksheet" dvAspect="DVASPECT_ICON" shapeId="6146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E4795-03EB-4E2E-8F8C-A401A6227C0E}">
  <dimension ref="A1:C4"/>
  <sheetViews>
    <sheetView workbookViewId="0">
      <selection activeCell="B19" sqref="B19"/>
    </sheetView>
  </sheetViews>
  <sheetFormatPr defaultRowHeight="14.4"/>
  <cols>
    <col min="1" max="1" width="18.33203125" bestFit="1" customWidth="1"/>
    <col min="2" max="2" width="63.88671875" bestFit="1" customWidth="1"/>
    <col min="3" max="3" width="47.5546875" customWidth="1"/>
  </cols>
  <sheetData>
    <row r="1" spans="1:3">
      <c r="A1" s="52" t="s">
        <v>137</v>
      </c>
      <c r="B1" s="52" t="s">
        <v>138</v>
      </c>
      <c r="C1" s="52" t="s">
        <v>139</v>
      </c>
    </row>
    <row r="2" spans="1:3" ht="28.8">
      <c r="A2" s="50" t="s">
        <v>140</v>
      </c>
      <c r="B2" s="50" t="s">
        <v>142</v>
      </c>
      <c r="C2" s="51" t="s">
        <v>146</v>
      </c>
    </row>
    <row r="3" spans="1:3" ht="43.2">
      <c r="A3" s="50" t="s">
        <v>40</v>
      </c>
      <c r="B3" s="51" t="s">
        <v>143</v>
      </c>
      <c r="C3" s="50" t="s">
        <v>145</v>
      </c>
    </row>
    <row r="4" spans="1:3">
      <c r="A4" s="50" t="s">
        <v>141</v>
      </c>
      <c r="B4" s="50" t="s">
        <v>144</v>
      </c>
      <c r="C4" s="50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68E7-7F6D-4BEE-99FA-B3589D5C75AB}">
  <dimension ref="A1:AP15"/>
  <sheetViews>
    <sheetView workbookViewId="0">
      <selection activeCell="AQ1" sqref="AQ1"/>
    </sheetView>
  </sheetViews>
  <sheetFormatPr defaultRowHeight="14.4"/>
  <cols>
    <col min="1" max="3" width="8.88671875" style="45"/>
    <col min="4" max="12" width="2.77734375" customWidth="1"/>
    <col min="13" max="13" width="3.88671875" customWidth="1"/>
    <col min="14" max="14" width="3.21875" customWidth="1"/>
    <col min="15" max="42" width="2.77734375" customWidth="1"/>
  </cols>
  <sheetData>
    <row r="1" spans="4:42">
      <c r="D1" s="45"/>
      <c r="E1" s="45"/>
      <c r="F1" s="45"/>
      <c r="G1" s="45"/>
      <c r="H1" s="45"/>
      <c r="I1" s="45"/>
      <c r="J1" s="45"/>
      <c r="K1" s="45"/>
      <c r="L1" s="45"/>
      <c r="M1" s="45">
        <v>9</v>
      </c>
      <c r="N1" s="45">
        <v>10</v>
      </c>
      <c r="O1" s="45">
        <v>11</v>
      </c>
      <c r="P1" s="45">
        <v>12</v>
      </c>
      <c r="Q1" s="45">
        <v>13</v>
      </c>
      <c r="R1" s="45">
        <v>14</v>
      </c>
      <c r="S1" s="45">
        <v>15</v>
      </c>
      <c r="T1" s="45">
        <v>16</v>
      </c>
      <c r="U1" s="45">
        <v>17</v>
      </c>
      <c r="V1" s="45">
        <v>18</v>
      </c>
      <c r="W1" s="45">
        <v>19</v>
      </c>
      <c r="X1" s="45">
        <v>20</v>
      </c>
      <c r="Y1" s="45">
        <v>21</v>
      </c>
      <c r="Z1" s="45">
        <v>22</v>
      </c>
      <c r="AA1" s="45">
        <v>23</v>
      </c>
      <c r="AB1" s="45">
        <v>24</v>
      </c>
      <c r="AC1" s="45">
        <v>25</v>
      </c>
      <c r="AD1" s="45">
        <v>26</v>
      </c>
      <c r="AE1" s="45">
        <v>27</v>
      </c>
      <c r="AF1" s="45">
        <v>28</v>
      </c>
      <c r="AG1" s="45">
        <v>29</v>
      </c>
      <c r="AH1" s="45">
        <v>30</v>
      </c>
      <c r="AI1" s="45"/>
      <c r="AJ1" s="45"/>
      <c r="AK1" s="45"/>
      <c r="AL1" s="45"/>
      <c r="AM1" s="45"/>
      <c r="AN1" s="45"/>
      <c r="AO1" s="45"/>
      <c r="AP1" s="45"/>
    </row>
    <row r="2" spans="4:42"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</row>
    <row r="3" spans="4:42"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</row>
    <row r="4" spans="4:42"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</row>
    <row r="5" spans="4:42"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</row>
    <row r="6" spans="4:42"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</row>
    <row r="7" spans="4:42"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</row>
    <row r="8" spans="4:42">
      <c r="D8" s="46">
        <v>0</v>
      </c>
      <c r="E8" s="46">
        <v>1</v>
      </c>
      <c r="F8" s="46">
        <v>2</v>
      </c>
      <c r="G8" s="46">
        <v>3</v>
      </c>
      <c r="H8" s="46">
        <v>4</v>
      </c>
      <c r="I8" s="46">
        <v>5</v>
      </c>
      <c r="J8" s="46">
        <v>6</v>
      </c>
      <c r="K8" s="46">
        <v>7</v>
      </c>
      <c r="L8" s="46">
        <v>8</v>
      </c>
      <c r="M8" s="53">
        <v>9</v>
      </c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6"/>
      <c r="AJ8" s="46"/>
      <c r="AK8" s="46"/>
      <c r="AL8" s="46"/>
      <c r="AM8" s="46"/>
      <c r="AN8" s="46"/>
      <c r="AO8" s="46"/>
      <c r="AP8" s="46"/>
    </row>
    <row r="9" spans="4:42"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</row>
    <row r="10" spans="4:42"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</row>
    <row r="11" spans="4:42"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</row>
    <row r="12" spans="4:42"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</row>
    <row r="13" spans="4:42"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</row>
    <row r="14" spans="4:42"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</row>
    <row r="15" spans="4:42"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Overhead calculation</vt:lpstr>
      <vt:lpstr>References</vt:lpstr>
      <vt:lpstr>SSB Position</vt:lpstr>
      <vt:lpstr>Calculator</vt:lpstr>
      <vt:lpstr>Main Parameters</vt:lpstr>
      <vt:lpstr>Frequency domain allocation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ELAdawi</dc:creator>
  <cp:lastModifiedBy>Mohamed ELAdawi</cp:lastModifiedBy>
  <dcterms:created xsi:type="dcterms:W3CDTF">2022-12-09T18:26:44Z</dcterms:created>
  <dcterms:modified xsi:type="dcterms:W3CDTF">2023-09-24T16:18:12Z</dcterms:modified>
</cp:coreProperties>
</file>