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c956a8a85d217aa/Extra/Blog/Posts/investor memo template/"/>
    </mc:Choice>
  </mc:AlternateContent>
  <xr:revisionPtr revIDLastSave="307" documentId="8_{2D22592B-5131-4496-900B-943492967F66}" xr6:coauthVersionLast="47" xr6:coauthVersionMax="47" xr10:uidLastSave="{AAE00089-F02A-4C29-A93E-0F57420DA0A6}"/>
  <bookViews>
    <workbookView xWindow="-98" yWindow="-98" windowWidth="21795" windowHeight="12975" xr2:uid="{AA081B32-C5C5-4A67-B599-ACC6C09BC0B2}"/>
  </bookViews>
  <sheets>
    <sheet name="trx_summary" sheetId="1" r:id="rId1"/>
    <sheet name="acf" sheetId="2" r:id="rId2"/>
    <sheet name="leasing_comps" sheetId="3" r:id="rId3"/>
    <sheet name="sales_comps" sheetId="4" r:id="rId4"/>
  </sheets>
  <calcPr calcId="191029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I17" i="2"/>
  <c r="I16" i="2"/>
  <c r="I8" i="4"/>
  <c r="F8" i="4"/>
  <c r="G8" i="4" s="1"/>
  <c r="J6" i="1"/>
  <c r="I6" i="1"/>
  <c r="I2" i="4" a="1"/>
  <c r="I2" i="4" s="1"/>
  <c r="I6" i="4" s="1"/>
  <c r="F6" i="4"/>
  <c r="E6" i="4"/>
  <c r="G11" i="3"/>
  <c r="G10" i="3"/>
  <c r="G18" i="3"/>
  <c r="G17" i="3"/>
  <c r="C7" i="2"/>
  <c r="C8" i="2" s="1"/>
  <c r="C19" i="2"/>
  <c r="B22" i="2"/>
  <c r="C23" i="2" s="1"/>
  <c r="B21" i="2"/>
  <c r="N21" i="2" s="1"/>
  <c r="B19" i="2"/>
  <c r="N17" i="2"/>
  <c r="N16" i="2"/>
  <c r="N15" i="2"/>
  <c r="N14" i="2"/>
  <c r="N12" i="2"/>
  <c r="N9" i="2"/>
  <c r="B15" i="2"/>
  <c r="B14" i="2"/>
  <c r="E12" i="2"/>
  <c r="F12" i="2" s="1"/>
  <c r="G12" i="2" s="1"/>
  <c r="H12" i="2" s="1"/>
  <c r="I12" i="2" s="1"/>
  <c r="D11" i="2"/>
  <c r="E11" i="2"/>
  <c r="F11" i="2"/>
  <c r="G11" i="2"/>
  <c r="H11" i="2"/>
  <c r="I11" i="2"/>
  <c r="C11" i="2"/>
  <c r="N11" i="2" s="1"/>
  <c r="B13" i="2"/>
  <c r="B18" i="2" s="1"/>
  <c r="B10" i="2"/>
  <c r="C5" i="2"/>
  <c r="C6" i="2" s="1"/>
  <c r="D4" i="2"/>
  <c r="J17" i="1"/>
  <c r="F13" i="1"/>
  <c r="F12" i="1"/>
  <c r="F11" i="1"/>
  <c r="F10" i="1"/>
  <c r="C11" i="1"/>
  <c r="C12" i="1"/>
  <c r="C10" i="1"/>
  <c r="C5" i="1"/>
  <c r="F5" i="1" s="1"/>
  <c r="C19" i="1"/>
  <c r="F19" i="1" s="1"/>
  <c r="F24" i="1" s="1"/>
  <c r="N4" i="1"/>
  <c r="N6" i="1"/>
  <c r="N3" i="1"/>
  <c r="N5" i="1" s="1"/>
  <c r="J11" i="1"/>
  <c r="J10" i="1"/>
  <c r="C17" i="1" s="1"/>
  <c r="F17" i="1" s="1"/>
  <c r="C16" i="1"/>
  <c r="F18" i="1"/>
  <c r="F9" i="1"/>
  <c r="F8" i="1"/>
  <c r="F7" i="1"/>
  <c r="I20" i="2" l="1"/>
  <c r="N20" i="2" s="1"/>
  <c r="E4" i="2"/>
  <c r="D5" i="2"/>
  <c r="N22" i="2"/>
  <c r="G2" i="4" a="1"/>
  <c r="G2" i="4" s="1"/>
  <c r="B24" i="2"/>
  <c r="N23" i="2"/>
  <c r="N19" i="2"/>
  <c r="C10" i="2"/>
  <c r="C13" i="1"/>
  <c r="C24" i="1"/>
  <c r="F16" i="1"/>
  <c r="D6" i="2" l="1"/>
  <c r="E5" i="2"/>
  <c r="E6" i="2" s="1"/>
  <c r="E7" i="2" s="1"/>
  <c r="E8" i="2" s="1"/>
  <c r="F4" i="2"/>
  <c r="C13" i="2"/>
  <c r="C30" i="2"/>
  <c r="F5" i="2" l="1"/>
  <c r="F6" i="2" s="1"/>
  <c r="G4" i="2"/>
  <c r="D7" i="2"/>
  <c r="C18" i="2"/>
  <c r="E10" i="2"/>
  <c r="E30" i="2"/>
  <c r="F7" i="2" l="1"/>
  <c r="F8" i="2" s="1"/>
  <c r="D8" i="2"/>
  <c r="G5" i="2"/>
  <c r="H4" i="2"/>
  <c r="E13" i="2"/>
  <c r="C24" i="2"/>
  <c r="F10" i="2" l="1"/>
  <c r="F13" i="2" s="1"/>
  <c r="F18" i="2" s="1"/>
  <c r="F24" i="2" s="1"/>
  <c r="F30" i="2"/>
  <c r="I4" i="2"/>
  <c r="H5" i="2"/>
  <c r="H6" i="2" s="1"/>
  <c r="G6" i="2"/>
  <c r="D30" i="2"/>
  <c r="D10" i="2"/>
  <c r="E18" i="2"/>
  <c r="H7" i="2" l="1"/>
  <c r="H8" i="2" s="1"/>
  <c r="D13" i="2"/>
  <c r="G7" i="2"/>
  <c r="I5" i="2"/>
  <c r="N4" i="2"/>
  <c r="E24" i="2"/>
  <c r="H10" i="2" l="1"/>
  <c r="H13" i="2" s="1"/>
  <c r="H18" i="2" s="1"/>
  <c r="H24" i="2" s="1"/>
  <c r="H30" i="2"/>
  <c r="I6" i="2"/>
  <c r="N5" i="2"/>
  <c r="G8" i="2"/>
  <c r="D18" i="2"/>
  <c r="D24" i="2" l="1"/>
  <c r="G10" i="2"/>
  <c r="G30" i="2"/>
  <c r="I7" i="2"/>
  <c r="N7" i="2" s="1"/>
  <c r="N6" i="2"/>
  <c r="I8" i="2" l="1"/>
  <c r="G13" i="2"/>
  <c r="G18" i="2" l="1"/>
  <c r="I30" i="2"/>
  <c r="I10" i="2"/>
  <c r="N8" i="2"/>
  <c r="I13" i="2" l="1"/>
  <c r="N10" i="2"/>
  <c r="G24" i="2"/>
  <c r="I18" i="2" l="1"/>
  <c r="N13" i="2"/>
  <c r="I24" i="2" l="1"/>
  <c r="N24" i="2" s="1"/>
  <c r="N1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<sst xmlns="http://schemas.openxmlformats.org/spreadsheetml/2006/main" count="202" uniqueCount="131">
  <si>
    <t>Sources &amp; Uses (at Close)</t>
  </si>
  <si>
    <t>Sources (at Close)</t>
  </si>
  <si>
    <t>Construction Loan Proceeds</t>
  </si>
  <si>
    <t>Senior Loan Proceeds</t>
  </si>
  <si>
    <t>Mezzanine Loan Proceeds</t>
  </si>
  <si>
    <t>Total Equity</t>
  </si>
  <si>
    <t>GP Equity</t>
  </si>
  <si>
    <t>LP Equity</t>
  </si>
  <si>
    <t>Sources &amp; Uses (Deal Life)</t>
  </si>
  <si>
    <t>Valuation</t>
  </si>
  <si>
    <t>Entry</t>
  </si>
  <si>
    <t>Exit</t>
  </si>
  <si>
    <t>Acquisition Loan Terms</t>
  </si>
  <si>
    <t>Land Value</t>
  </si>
  <si>
    <t>NM</t>
  </si>
  <si>
    <t>Loan-to-Value</t>
  </si>
  <si>
    <t>Sources (Deal Life)</t>
  </si>
  <si>
    <t>PSF</t>
  </si>
  <si>
    <t>Rate</t>
  </si>
  <si>
    <t>Acquisition Loan Proceeds</t>
  </si>
  <si>
    <t>Total Basis / Exit Value</t>
  </si>
  <si>
    <t>Term</t>
  </si>
  <si>
    <t>Amortization</t>
  </si>
  <si>
    <t>CF From Operations</t>
  </si>
  <si>
    <t>Cap Rate</t>
  </si>
  <si>
    <t>Interest Only</t>
  </si>
  <si>
    <t>Timing</t>
  </si>
  <si>
    <t>Returns</t>
  </si>
  <si>
    <t>Escrow Closing Date</t>
  </si>
  <si>
    <t>LIRR</t>
  </si>
  <si>
    <t>Total</t>
  </si>
  <si>
    <t>Hold Period</t>
  </si>
  <si>
    <t>Stabilization Date</t>
  </si>
  <si>
    <t>Average Cash-on-Cash</t>
  </si>
  <si>
    <t>Uses (Deal Life)</t>
  </si>
  <si>
    <t>Exit Date</t>
  </si>
  <si>
    <t>Purchase Price</t>
  </si>
  <si>
    <t>Metrics</t>
  </si>
  <si>
    <t>Y1</t>
  </si>
  <si>
    <t>Stabilized</t>
  </si>
  <si>
    <t>Closing Costs</t>
  </si>
  <si>
    <t>Cap Rate (on PP)</t>
  </si>
  <si>
    <t>Cap Rate (on Total at Close)</t>
  </si>
  <si>
    <t>Up-Front Working Capital</t>
  </si>
  <si>
    <t>Acquisition Loan Fees</t>
  </si>
  <si>
    <t>DSCR</t>
  </si>
  <si>
    <t>Leasing Costs</t>
  </si>
  <si>
    <t>Tenant Improvements</t>
  </si>
  <si>
    <t>Capital Projects</t>
  </si>
  <si>
    <t>Operating Shortfalls</t>
  </si>
  <si>
    <t>Uses (at Close)</t>
  </si>
  <si>
    <t>Fees</t>
  </si>
  <si>
    <t>%</t>
  </si>
  <si>
    <t>$</t>
  </si>
  <si>
    <t>Exit Costs</t>
  </si>
  <si>
    <t>#</t>
  </si>
  <si>
    <t>UIRR</t>
  </si>
  <si>
    <t>UMoC</t>
  </si>
  <si>
    <t>LMoC</t>
  </si>
  <si>
    <t>Loan Fees</t>
  </si>
  <si>
    <t>Cash on Cash Return</t>
  </si>
  <si>
    <t>Year</t>
  </si>
  <si>
    <t>Year Ending</t>
  </si>
  <si>
    <t>Net Rental Income</t>
  </si>
  <si>
    <t>Total Other Income</t>
  </si>
  <si>
    <t>Effective Gross Revenue</t>
  </si>
  <si>
    <t>Total Operating Expenses</t>
  </si>
  <si>
    <t>Net Operating Income</t>
  </si>
  <si>
    <t>Cash Flow Before Debt Service</t>
  </si>
  <si>
    <t>Interest Payment</t>
  </si>
  <si>
    <t>Cash Flow After Debt Service</t>
  </si>
  <si>
    <t>Sale Price</t>
  </si>
  <si>
    <t>Unlevered Net Cash Flow</t>
  </si>
  <si>
    <t>Loan Funding</t>
  </si>
  <si>
    <t>Loan Payoff</t>
  </si>
  <si>
    <t>Working Capital Contributed</t>
  </si>
  <si>
    <t>Working Capital Distributed</t>
  </si>
  <si>
    <t>Levered Net Cash Flow</t>
  </si>
  <si>
    <t>Cap Rate on PP</t>
  </si>
  <si>
    <t>Cap Rate on Total Cost (at Close)</t>
  </si>
  <si>
    <t>Cash on Cash Return After Fees</t>
  </si>
  <si>
    <t>NOI Margin</t>
  </si>
  <si>
    <t>Total CapEx</t>
  </si>
  <si>
    <t>Tenant</t>
  </si>
  <si>
    <t>Project</t>
  </si>
  <si>
    <t>Type</t>
  </si>
  <si>
    <t>Execution Date</t>
  </si>
  <si>
    <t>Escalations</t>
  </si>
  <si>
    <t>Delivery Condition</t>
  </si>
  <si>
    <t>Size</t>
  </si>
  <si>
    <t>Term (years)</t>
  </si>
  <si>
    <t>Rent PSF</t>
  </si>
  <si>
    <t>NNN / OpEx PSF</t>
  </si>
  <si>
    <t>Gross Rent</t>
  </si>
  <si>
    <t>TI PSF</t>
  </si>
  <si>
    <t>Comparable Properties</t>
  </si>
  <si>
    <t>F&amp;B</t>
  </si>
  <si>
    <t>Q2 2022</t>
  </si>
  <si>
    <t>Cold Dark Shell</t>
  </si>
  <si>
    <t>Q1 2022</t>
  </si>
  <si>
    <t>Q3 2022</t>
  </si>
  <si>
    <t>Warm Shell</t>
  </si>
  <si>
    <t>Retail</t>
  </si>
  <si>
    <t>Q1 2023</t>
  </si>
  <si>
    <t>Total / Wtd Avg - Cold Dark Shell</t>
  </si>
  <si>
    <t>Total / Wtd Avg - Warm Shell</t>
  </si>
  <si>
    <t>Subject Property</t>
  </si>
  <si>
    <t>Comp 1</t>
  </si>
  <si>
    <t>Comp 2</t>
  </si>
  <si>
    <t>Comp 3</t>
  </si>
  <si>
    <t>Comp 4</t>
  </si>
  <si>
    <t>Comp 5</t>
  </si>
  <si>
    <t>Comp 6</t>
  </si>
  <si>
    <t>Project Name</t>
  </si>
  <si>
    <t>Dentist</t>
  </si>
  <si>
    <t>Office</t>
  </si>
  <si>
    <t>Gym</t>
  </si>
  <si>
    <t>Apparel</t>
  </si>
  <si>
    <t>Bar</t>
  </si>
  <si>
    <t>X% annual increase</t>
  </si>
  <si>
    <t>Subject 1</t>
  </si>
  <si>
    <t>Subject 2</t>
  </si>
  <si>
    <t>Subject 3</t>
  </si>
  <si>
    <t>Property</t>
  </si>
  <si>
    <t>Distance (mi)</t>
  </si>
  <si>
    <t>Sale Date</t>
  </si>
  <si>
    <t>SF</t>
  </si>
  <si>
    <t>Price ($M)</t>
  </si>
  <si>
    <t>Exit NOI</t>
  </si>
  <si>
    <t>Total / Wtd Avg</t>
  </si>
  <si>
    <t>Subject Exit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</si>
</sst>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([$$]#,##0_)_%;\([$$]#,##0\)_%;_(&quot;–&quot;_)_%;_(@_)_%"/>
    <numFmt numFmtId="165" formatCode="_(#,##0.0%_);\(#,##0.0%\);_(&quot;–&quot;_)_%;_(@_)_%"/>
    <numFmt numFmtId="166" formatCode="0\ &quot;Months&quot;"/>
    <numFmt numFmtId="167" formatCode="_(#,##0_)_%;\(#,##0\)_%;_(&quot;–&quot;_)_%;_(@_)_%"/>
    <numFmt numFmtId="168" formatCode="0\ &quot;Years&quot;"/>
    <numFmt numFmtId="169" formatCode="_(#,##0.00%_);\(#,##0.00%\);_(&quot;–&quot;_)_%;_(@_)_%"/>
    <numFmt numFmtId="170" formatCode="m/d/yyyy;@"/>
    <numFmt numFmtId="171" formatCode="0\ &quot;years&quot;"/>
    <numFmt numFmtId="172" formatCode="_(0.0\x_)_)_';_(\(0.0\x\)_'_';_(&quot;–&quot;_)_%;_(@_)_%"/>
    <numFmt numFmtId="173" formatCode="_(0.00\x_)_)_';_(\(0.00\x\)_'_';_(&quot;–&quot;_)_%;_(@_)_%"/>
    <numFmt numFmtId="176" formatCode="0.00\x"/>
    <numFmt numFmtId="177" formatCode="_(#,##0.0_)_%;\(#,##0.0\)_%;_(&quot;–&quot;_)_%;_(@_)_%"/>
    <numFmt numFmtId="178" formatCode="mmm\ \'yy"/>
    <numFmt numFmtId="179" formatCode="_(#,##0.00_)_%;\(#,##0.00\)_%;_(&quot;–&quot;_)_%;_(@_)_%"/>
    <numFmt numFmtId="180" formatCode="_([$$]#,##0.0_)_%;\([$$]#,##0.0\)_%;_(&quot;–&quot;_)_%;_(@_)_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F3557"/>
        <bgColor rgb="FF000000"/>
      </patternFill>
    </fill>
    <fill>
      <patternFill patternType="solid">
        <fgColor rgb="FFCBCFE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375623"/>
        <bgColor rgb="FF000000"/>
      </patternFill>
    </fill>
  </fills>
  <borders count="8">
    <border>
      <left/>
      <right/>
      <top/>
      <bottom/>
      <diagonal/>
    </border>
    <border>
      <left/>
      <right/>
      <top style="hair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9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Continuous"/>
    </xf>
    <xf numFmtId="0" fontId="5" fillId="0" borderId="0" xfId="0" applyFont="1"/>
    <xf numFmtId="164" fontId="6" fillId="0" borderId="0" xfId="1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5" fontId="5" fillId="0" borderId="0" xfId="0" applyNumberFormat="1" applyFont="1"/>
    <xf numFmtId="0" fontId="8" fillId="3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7" fillId="4" borderId="0" xfId="0" applyFont="1" applyFill="1"/>
    <xf numFmtId="164" fontId="10" fillId="4" borderId="0" xfId="1" applyNumberFormat="1" applyFont="1" applyFill="1" applyBorder="1" applyAlignment="1">
      <alignment horizontal="right"/>
    </xf>
    <xf numFmtId="164" fontId="7" fillId="4" borderId="0" xfId="0" applyNumberFormat="1" applyFont="1" applyFill="1" applyAlignment="1">
      <alignment horizontal="right"/>
    </xf>
    <xf numFmtId="10" fontId="5" fillId="0" borderId="0" xfId="0" applyNumberFormat="1" applyFont="1"/>
    <xf numFmtId="0" fontId="5" fillId="0" borderId="0" xfId="0" applyFont="1" applyAlignment="1">
      <alignment horizontal="left"/>
    </xf>
    <xf numFmtId="164" fontId="9" fillId="0" borderId="0" xfId="0" applyNumberFormat="1" applyFont="1"/>
    <xf numFmtId="164" fontId="5" fillId="0" borderId="0" xfId="0" applyNumberFormat="1" applyFont="1"/>
    <xf numFmtId="166" fontId="5" fillId="0" borderId="0" xfId="0" applyNumberFormat="1" applyFont="1"/>
    <xf numFmtId="167" fontId="6" fillId="0" borderId="0" xfId="1" applyNumberFormat="1" applyFont="1" applyBorder="1" applyAlignment="1">
      <alignment horizontal="right"/>
    </xf>
    <xf numFmtId="0" fontId="7" fillId="4" borderId="0" xfId="0" applyFont="1" applyFill="1" applyAlignment="1">
      <alignment horizontal="left"/>
    </xf>
    <xf numFmtId="164" fontId="7" fillId="4" borderId="0" xfId="0" applyNumberFormat="1" applyFont="1" applyFill="1"/>
    <xf numFmtId="168" fontId="5" fillId="0" borderId="0" xfId="0" applyNumberFormat="1" applyFont="1"/>
    <xf numFmtId="169" fontId="6" fillId="0" borderId="0" xfId="1" applyNumberFormat="1" applyFont="1" applyBorder="1" applyAlignment="1">
      <alignment horizontal="right"/>
    </xf>
    <xf numFmtId="169" fontId="5" fillId="0" borderId="0" xfId="0" applyNumberFormat="1" applyFont="1"/>
    <xf numFmtId="167" fontId="5" fillId="0" borderId="0" xfId="0" applyNumberFormat="1" applyFont="1"/>
    <xf numFmtId="0" fontId="7" fillId="4" borderId="0" xfId="0" applyFont="1" applyFill="1" applyAlignment="1">
      <alignment horizontal="left" indent="1"/>
    </xf>
    <xf numFmtId="167" fontId="10" fillId="4" borderId="0" xfId="1" applyNumberFormat="1" applyFont="1" applyFill="1" applyBorder="1" applyAlignment="1">
      <alignment horizontal="right"/>
    </xf>
    <xf numFmtId="0" fontId="11" fillId="2" borderId="0" xfId="0" applyFont="1" applyFill="1"/>
    <xf numFmtId="170" fontId="5" fillId="0" borderId="0" xfId="0" applyNumberFormat="1" applyFont="1"/>
    <xf numFmtId="0" fontId="12" fillId="0" borderId="1" xfId="0" applyFont="1" applyBorder="1" applyAlignment="1">
      <alignment horizontal="left"/>
    </xf>
    <xf numFmtId="164" fontId="13" fillId="0" borderId="1" xfId="1" applyNumberFormat="1" applyFont="1" applyBorder="1" applyAlignment="1">
      <alignment horizontal="right"/>
    </xf>
    <xf numFmtId="171" fontId="5" fillId="0" borderId="0" xfId="0" applyNumberFormat="1" applyFont="1" applyAlignment="1">
      <alignment horizontal="right" indent="1"/>
    </xf>
    <xf numFmtId="172" fontId="5" fillId="0" borderId="0" xfId="0" applyNumberFormat="1" applyFont="1"/>
    <xf numFmtId="0" fontId="8" fillId="3" borderId="0" xfId="0" applyFont="1" applyFill="1"/>
    <xf numFmtId="0" fontId="9" fillId="3" borderId="0" xfId="0" applyFont="1" applyFill="1"/>
    <xf numFmtId="164" fontId="6" fillId="0" borderId="0" xfId="1" applyNumberFormat="1" applyFont="1" applyBorder="1" applyAlignment="1"/>
    <xf numFmtId="167" fontId="6" fillId="0" borderId="0" xfId="1" applyNumberFormat="1" applyFont="1" applyBorder="1" applyAlignment="1"/>
    <xf numFmtId="0" fontId="12" fillId="0" borderId="1" xfId="0" applyFont="1" applyBorder="1"/>
    <xf numFmtId="164" fontId="13" fillId="0" borderId="1" xfId="1" applyNumberFormat="1" applyFont="1" applyBorder="1" applyAlignment="1"/>
    <xf numFmtId="167" fontId="0" fillId="0" borderId="0" xfId="0" applyNumberFormat="1"/>
    <xf numFmtId="0" fontId="11" fillId="2" borderId="0" xfId="0" applyFont="1" applyFill="1" applyAlignment="1">
      <alignment horizontal="center"/>
    </xf>
    <xf numFmtId="165" fontId="14" fillId="0" borderId="0" xfId="0" applyNumberFormat="1" applyFont="1"/>
    <xf numFmtId="164" fontId="0" fillId="0" borderId="0" xfId="0" applyNumberFormat="1"/>
    <xf numFmtId="0" fontId="4" fillId="2" borderId="0" xfId="0" applyFont="1" applyFill="1" applyAlignment="1">
      <alignment horizontal="center"/>
    </xf>
    <xf numFmtId="169" fontId="0" fillId="0" borderId="0" xfId="0" applyNumberFormat="1"/>
    <xf numFmtId="172" fontId="0" fillId="0" borderId="0" xfId="0" applyNumberFormat="1"/>
    <xf numFmtId="10" fontId="0" fillId="0" borderId="0" xfId="0" applyNumberFormat="1"/>
    <xf numFmtId="173" fontId="5" fillId="0" borderId="0" xfId="0" applyNumberFormat="1" applyFont="1" applyAlignment="1">
      <alignment horizontal="right"/>
    </xf>
    <xf numFmtId="14" fontId="4" fillId="2" borderId="0" xfId="0" applyNumberFormat="1" applyFont="1" applyFill="1" applyAlignment="1">
      <alignment horizontal="center"/>
    </xf>
    <xf numFmtId="38" fontId="5" fillId="0" borderId="0" xfId="0" applyNumberFormat="1" applyFont="1"/>
    <xf numFmtId="0" fontId="12" fillId="0" borderId="2" xfId="0" applyFont="1" applyBorder="1" applyAlignment="1">
      <alignment horizontal="left"/>
    </xf>
    <xf numFmtId="164" fontId="12" fillId="0" borderId="2" xfId="0" applyNumberFormat="1" applyFont="1" applyBorder="1"/>
    <xf numFmtId="0" fontId="12" fillId="0" borderId="2" xfId="0" applyFont="1" applyBorder="1"/>
    <xf numFmtId="0" fontId="12" fillId="0" borderId="3" xfId="0" applyFont="1" applyBorder="1" applyAlignment="1">
      <alignment horizontal="left"/>
    </xf>
    <xf numFmtId="164" fontId="12" fillId="0" borderId="3" xfId="0" applyNumberFormat="1" applyFont="1" applyBorder="1"/>
    <xf numFmtId="167" fontId="5" fillId="0" borderId="0" xfId="0" applyNumberFormat="1" applyFont="1" applyAlignment="1">
      <alignment horizontal="right"/>
    </xf>
    <xf numFmtId="164" fontId="12" fillId="0" borderId="3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76" fontId="5" fillId="0" borderId="4" xfId="0" applyNumberFormat="1" applyFont="1" applyBorder="1"/>
    <xf numFmtId="38" fontId="5" fillId="0" borderId="4" xfId="0" applyNumberFormat="1" applyFont="1" applyBorder="1"/>
    <xf numFmtId="0" fontId="5" fillId="0" borderId="5" xfId="0" applyFont="1" applyBorder="1" applyAlignment="1">
      <alignment horizontal="lef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164" fontId="12" fillId="0" borderId="2" xfId="0" applyNumberFormat="1" applyFont="1" applyBorder="1" applyAlignment="1">
      <alignment horizontal="right"/>
    </xf>
    <xf numFmtId="164" fontId="5" fillId="0" borderId="3" xfId="0" applyNumberFormat="1" applyFont="1" applyBorder="1" applyAlignment="1">
      <alignment horizontal="right"/>
    </xf>
    <xf numFmtId="38" fontId="5" fillId="0" borderId="0" xfId="0" applyNumberFormat="1" applyFont="1" applyAlignment="1">
      <alignment horizontal="right"/>
    </xf>
    <xf numFmtId="38" fontId="5" fillId="0" borderId="4" xfId="0" applyNumberFormat="1" applyFont="1" applyBorder="1" applyAlignment="1">
      <alignment horizontal="right"/>
    </xf>
    <xf numFmtId="176" fontId="5" fillId="0" borderId="4" xfId="0" applyNumberFormat="1" applyFont="1" applyBorder="1" applyAlignment="1">
      <alignment horizontal="right"/>
    </xf>
    <xf numFmtId="10" fontId="5" fillId="0" borderId="0" xfId="0" applyNumberFormat="1" applyFont="1" applyAlignment="1">
      <alignment horizontal="right"/>
    </xf>
    <xf numFmtId="38" fontId="5" fillId="0" borderId="5" xfId="0" applyNumberFormat="1" applyFont="1" applyBorder="1" applyAlignment="1">
      <alignment horizontal="right"/>
    </xf>
    <xf numFmtId="165" fontId="5" fillId="0" borderId="5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0" fontId="2" fillId="3" borderId="0" xfId="0" applyFont="1" applyFill="1" applyAlignment="1">
      <alignment vertical="top"/>
    </xf>
    <xf numFmtId="0" fontId="0" fillId="0" borderId="0" xfId="0" applyAlignment="1">
      <alignment vertical="top"/>
    </xf>
    <xf numFmtId="167" fontId="0" fillId="0" borderId="0" xfId="0" applyNumberFormat="1" applyAlignment="1">
      <alignment vertical="top"/>
    </xf>
    <xf numFmtId="177" fontId="0" fillId="0" borderId="0" xfId="0" applyNumberFormat="1" applyAlignment="1">
      <alignment vertical="top"/>
    </xf>
    <xf numFmtId="164" fontId="14" fillId="0" borderId="0" xfId="0" applyNumberFormat="1" applyFont="1" applyAlignment="1">
      <alignment vertical="top"/>
    </xf>
    <xf numFmtId="164" fontId="0" fillId="0" borderId="0" xfId="0" applyNumberFormat="1" applyAlignment="1">
      <alignment vertical="top"/>
    </xf>
    <xf numFmtId="0" fontId="0" fillId="4" borderId="0" xfId="0" applyFill="1" applyAlignment="1">
      <alignment vertical="top"/>
    </xf>
    <xf numFmtId="167" fontId="0" fillId="4" borderId="0" xfId="0" applyNumberFormat="1" applyFill="1" applyAlignment="1">
      <alignment vertical="top"/>
    </xf>
    <xf numFmtId="177" fontId="0" fillId="4" borderId="0" xfId="0" applyNumberFormat="1" applyFill="1" applyAlignment="1">
      <alignment vertical="top"/>
    </xf>
    <xf numFmtId="167" fontId="14" fillId="5" borderId="0" xfId="0" applyNumberFormat="1" applyFont="1" applyFill="1" applyAlignment="1">
      <alignment vertical="top"/>
    </xf>
    <xf numFmtId="167" fontId="14" fillId="0" borderId="0" xfId="0" applyNumberFormat="1" applyFont="1" applyAlignment="1">
      <alignment vertical="top"/>
    </xf>
    <xf numFmtId="167" fontId="14" fillId="5" borderId="0" xfId="0" applyNumberFormat="1" applyFont="1" applyFill="1" applyAlignment="1">
      <alignment horizontal="right" vertical="top"/>
    </xf>
    <xf numFmtId="167" fontId="0" fillId="4" borderId="0" xfId="0" applyNumberFormat="1" applyFill="1" applyAlignment="1">
      <alignment horizontal="right" vertical="top"/>
    </xf>
    <xf numFmtId="0" fontId="3" fillId="6" borderId="6" xfId="0" applyFont="1" applyFill="1" applyBorder="1" applyAlignment="1">
      <alignment vertical="top"/>
    </xf>
    <xf numFmtId="167" fontId="3" fillId="6" borderId="6" xfId="0" applyNumberFormat="1" applyFont="1" applyFill="1" applyBorder="1" applyAlignment="1">
      <alignment vertical="top"/>
    </xf>
    <xf numFmtId="177" fontId="3" fillId="6" borderId="6" xfId="0" applyNumberFormat="1" applyFont="1" applyFill="1" applyBorder="1" applyAlignment="1">
      <alignment vertical="top"/>
    </xf>
    <xf numFmtId="164" fontId="3" fillId="6" borderId="6" xfId="0" applyNumberFormat="1" applyFont="1" applyFill="1" applyBorder="1" applyAlignment="1">
      <alignment vertical="top"/>
    </xf>
    <xf numFmtId="164" fontId="3" fillId="7" borderId="6" xfId="0" applyNumberFormat="1" applyFont="1" applyFill="1" applyBorder="1" applyAlignment="1">
      <alignment vertical="top"/>
    </xf>
    <xf numFmtId="0" fontId="3" fillId="6" borderId="5" xfId="0" applyFont="1" applyFill="1" applyBorder="1" applyAlignment="1">
      <alignment vertical="top"/>
    </xf>
    <xf numFmtId="167" fontId="3" fillId="6" borderId="5" xfId="0" applyNumberFormat="1" applyFont="1" applyFill="1" applyBorder="1" applyAlignment="1">
      <alignment vertical="top"/>
    </xf>
    <xf numFmtId="177" fontId="3" fillId="6" borderId="5" xfId="0" applyNumberFormat="1" applyFont="1" applyFill="1" applyBorder="1" applyAlignment="1">
      <alignment vertical="top"/>
    </xf>
    <xf numFmtId="167" fontId="3" fillId="7" borderId="7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78" fontId="0" fillId="0" borderId="0" xfId="0" applyNumberFormat="1" applyAlignment="1">
      <alignment horizontal="right" vertical="top"/>
    </xf>
    <xf numFmtId="167" fontId="3" fillId="6" borderId="0" xfId="0" applyNumberFormat="1" applyFont="1" applyFill="1" applyBorder="1" applyAlignment="1">
      <alignment vertical="top"/>
    </xf>
    <xf numFmtId="167" fontId="3" fillId="2" borderId="0" xfId="0" applyNumberFormat="1" applyFont="1" applyFill="1"/>
    <xf numFmtId="0" fontId="3" fillId="2" borderId="0" xfId="0" applyFont="1" applyFill="1" applyAlignment="1">
      <alignment horizontal="center"/>
    </xf>
    <xf numFmtId="167" fontId="0" fillId="0" borderId="0" xfId="0" applyNumberFormat="1" applyAlignment="1">
      <alignment horizontal="left"/>
    </xf>
    <xf numFmtId="179" fontId="0" fillId="0" borderId="0" xfId="0" applyNumberFormat="1" applyAlignment="1">
      <alignment horizontal="right"/>
    </xf>
    <xf numFmtId="178" fontId="0" fillId="0" borderId="0" xfId="0" applyNumberFormat="1" applyAlignment="1">
      <alignment horizontal="left"/>
    </xf>
    <xf numFmtId="180" fontId="0" fillId="0" borderId="0" xfId="0" applyNumberFormat="1"/>
    <xf numFmtId="165" fontId="0" fillId="0" borderId="0" xfId="0" applyNumberFormat="1" applyAlignment="1">
      <alignment horizontal="right"/>
    </xf>
    <xf numFmtId="177" fontId="0" fillId="0" borderId="0" xfId="0" applyNumberFormat="1"/>
    <xf numFmtId="0" fontId="2" fillId="0" borderId="1" xfId="0" applyFont="1" applyBorder="1"/>
    <xf numFmtId="167" fontId="2" fillId="0" borderId="1" xfId="0" applyNumberFormat="1" applyFont="1" applyBorder="1"/>
    <xf numFmtId="180" fontId="2" fillId="0" borderId="1" xfId="0" applyNumberFormat="1" applyFont="1" applyBorder="1"/>
    <xf numFmtId="164" fontId="2" fillId="0" borderId="1" xfId="0" applyNumberFormat="1" applyFont="1" applyBorder="1"/>
    <xf numFmtId="165" fontId="2" fillId="0" borderId="1" xfId="0" applyNumberFormat="1" applyFont="1" applyBorder="1"/>
    <xf numFmtId="0" fontId="3" fillId="6" borderId="0" xfId="0" applyFont="1" applyFill="1"/>
    <xf numFmtId="167" fontId="3" fillId="6" borderId="0" xfId="0" applyNumberFormat="1" applyFont="1" applyFill="1" applyAlignment="1">
      <alignment horizontal="right"/>
    </xf>
    <xf numFmtId="178" fontId="3" fillId="6" borderId="0" xfId="0" applyNumberFormat="1" applyFont="1" applyFill="1" applyAlignment="1">
      <alignment horizontal="left"/>
    </xf>
    <xf numFmtId="167" fontId="3" fillId="6" borderId="0" xfId="0" applyNumberFormat="1" applyFont="1" applyFill="1"/>
    <xf numFmtId="180" fontId="3" fillId="6" borderId="0" xfId="0" applyNumberFormat="1" applyFont="1" applyFill="1"/>
    <xf numFmtId="164" fontId="3" fillId="6" borderId="0" xfId="0" applyNumberFormat="1" applyFont="1" applyFill="1"/>
    <xf numFmtId="165" fontId="3" fillId="6" borderId="0" xfId="0" applyNumberFormat="1" applyFont="1" applyFill="1"/>
  </cellXfs>
  <cellStyles count="2">
    <cellStyle name="Normal" xfId="0" builtinId="0"/>
    <cellStyle name="Percent" xfId="1" builtinId="5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F09B5-16B6-4396-948C-6BD945331ACC}">
  <dimension ref="B2:N25"/>
  <sheetViews>
    <sheetView showGridLines="0" tabSelected="1" workbookViewId="0"/>
  </sheetViews>
  <sheetFormatPr defaultRowHeight="14.25" x14ac:dyDescent="0.45"/>
  <cols>
    <col min="1" max="1" width="5.59765625" customWidth="1"/>
    <col min="2" max="2" width="22.6640625" bestFit="1" customWidth="1"/>
    <col min="3" max="3" width="11.53125" bestFit="1" customWidth="1"/>
    <col min="4" max="4" width="3.59765625" customWidth="1"/>
    <col min="5" max="5" width="22.6640625" bestFit="1" customWidth="1"/>
    <col min="6" max="6" width="11.53125" bestFit="1" customWidth="1"/>
    <col min="7" max="7" width="3.59765625" customWidth="1"/>
    <col min="8" max="8" width="20.9296875" bestFit="1" customWidth="1"/>
    <col min="9" max="10" width="11.46484375" bestFit="1" customWidth="1"/>
    <col min="11" max="11" width="3.59765625" customWidth="1"/>
    <col min="12" max="12" width="18.19921875" bestFit="1" customWidth="1"/>
    <col min="13" max="13" width="6.33203125" bestFit="1" customWidth="1"/>
    <col min="14" max="14" width="10.796875" bestFit="1" customWidth="1"/>
  </cols>
  <sheetData>
    <row r="2" spans="2:14" x14ac:dyDescent="0.45">
      <c r="B2" s="2" t="s">
        <v>0</v>
      </c>
      <c r="C2" s="3"/>
      <c r="E2" s="2" t="s">
        <v>8</v>
      </c>
      <c r="F2" s="3"/>
      <c r="G2" s="4"/>
      <c r="H2" s="2" t="s">
        <v>9</v>
      </c>
      <c r="I2" s="3" t="s">
        <v>10</v>
      </c>
      <c r="J2" s="3" t="s">
        <v>11</v>
      </c>
      <c r="K2" s="4"/>
      <c r="L2" s="2" t="s">
        <v>12</v>
      </c>
      <c r="M2" s="43" t="s">
        <v>52</v>
      </c>
      <c r="N2" s="43" t="s">
        <v>55</v>
      </c>
    </row>
    <row r="3" spans="2:14" x14ac:dyDescent="0.45">
      <c r="B3" s="4"/>
      <c r="C3" s="4"/>
      <c r="E3" s="4"/>
      <c r="F3" s="4"/>
      <c r="G3" s="4"/>
      <c r="H3" s="4" t="s">
        <v>13</v>
      </c>
      <c r="I3" s="5">
        <v>1000000</v>
      </c>
      <c r="J3" s="6" t="s">
        <v>14</v>
      </c>
      <c r="K3" s="4"/>
      <c r="L3" s="4" t="s">
        <v>15</v>
      </c>
      <c r="M3" s="7">
        <v>0.5</v>
      </c>
      <c r="N3" s="42">
        <f>M3*I3</f>
        <v>500000</v>
      </c>
    </row>
    <row r="4" spans="2:14" x14ac:dyDescent="0.45">
      <c r="B4" s="8" t="s">
        <v>1</v>
      </c>
      <c r="C4" s="9"/>
      <c r="E4" s="8" t="s">
        <v>16</v>
      </c>
      <c r="F4" s="9"/>
      <c r="G4" s="4"/>
      <c r="H4" s="10" t="s">
        <v>17</v>
      </c>
      <c r="I4" s="11">
        <v>349.62256654747716</v>
      </c>
      <c r="J4" s="12" t="s">
        <v>14</v>
      </c>
      <c r="K4" s="4"/>
      <c r="L4" t="s">
        <v>59</v>
      </c>
      <c r="M4" s="46">
        <v>7.4999999999999997E-3</v>
      </c>
      <c r="N4" s="39">
        <f>M4*N3</f>
        <v>3750</v>
      </c>
    </row>
    <row r="5" spans="2:14" x14ac:dyDescent="0.45">
      <c r="B5" s="14" t="s">
        <v>19</v>
      </c>
      <c r="C5" s="5">
        <f>N3</f>
        <v>500000</v>
      </c>
      <c r="E5" s="14" t="s">
        <v>19</v>
      </c>
      <c r="F5" s="5">
        <f>C5</f>
        <v>500000</v>
      </c>
      <c r="G5" s="4"/>
      <c r="H5" s="14" t="s">
        <v>20</v>
      </c>
      <c r="I5" s="15">
        <v>2000000</v>
      </c>
      <c r="J5" s="16">
        <v>4500000</v>
      </c>
      <c r="K5" s="4"/>
      <c r="L5" s="4" t="s">
        <v>18</v>
      </c>
      <c r="M5" s="13">
        <v>6.5000000000000002E-2</v>
      </c>
      <c r="N5" s="39">
        <f>$N$3*$M$5</f>
        <v>32500</v>
      </c>
    </row>
    <row r="6" spans="2:14" x14ac:dyDescent="0.45">
      <c r="B6" t="s">
        <v>2</v>
      </c>
      <c r="C6" s="39">
        <v>0</v>
      </c>
      <c r="E6" t="s">
        <v>2</v>
      </c>
      <c r="F6" s="39">
        <v>2000000</v>
      </c>
      <c r="G6" s="4"/>
      <c r="H6" s="19" t="s">
        <v>17</v>
      </c>
      <c r="I6" s="20">
        <f>I5/sales_comps!$E$8</f>
        <v>200</v>
      </c>
      <c r="J6" s="20">
        <f>J5/sales_comps!$E$8</f>
        <v>450</v>
      </c>
      <c r="K6" s="4"/>
      <c r="L6" s="4" t="s">
        <v>21</v>
      </c>
      <c r="N6" s="17">
        <f>J15*12</f>
        <v>120</v>
      </c>
    </row>
    <row r="7" spans="2:14" x14ac:dyDescent="0.45">
      <c r="B7" t="s">
        <v>3</v>
      </c>
      <c r="C7" s="39">
        <v>0</v>
      </c>
      <c r="E7" t="s">
        <v>3</v>
      </c>
      <c r="F7" s="39">
        <f t="shared" ref="F6:F12" si="0">C7</f>
        <v>0</v>
      </c>
      <c r="G7" s="4"/>
      <c r="H7" s="4" t="s">
        <v>24</v>
      </c>
      <c r="I7" s="22">
        <v>0.04</v>
      </c>
      <c r="J7" s="23">
        <v>0.06</v>
      </c>
      <c r="K7" s="4"/>
      <c r="L7" s="4" t="s">
        <v>22</v>
      </c>
      <c r="N7" s="21">
        <v>30</v>
      </c>
    </row>
    <row r="8" spans="2:14" x14ac:dyDescent="0.45">
      <c r="B8" s="14" t="s">
        <v>4</v>
      </c>
      <c r="C8" s="18">
        <v>0</v>
      </c>
      <c r="E8" s="14" t="s">
        <v>4</v>
      </c>
      <c r="F8" s="18">
        <f t="shared" si="0"/>
        <v>0</v>
      </c>
      <c r="G8" s="4"/>
      <c r="H8" s="4"/>
      <c r="I8" s="4"/>
      <c r="J8" s="4"/>
      <c r="K8" s="4"/>
      <c r="L8" s="4" t="s">
        <v>25</v>
      </c>
      <c r="N8" s="17">
        <v>18</v>
      </c>
    </row>
    <row r="9" spans="2:14" x14ac:dyDescent="0.45">
      <c r="B9" s="14" t="s">
        <v>23</v>
      </c>
      <c r="C9" s="18">
        <v>0</v>
      </c>
      <c r="E9" s="14" t="s">
        <v>23</v>
      </c>
      <c r="F9" s="18">
        <f t="shared" si="0"/>
        <v>0</v>
      </c>
      <c r="G9" s="4"/>
      <c r="H9" s="27" t="s">
        <v>51</v>
      </c>
      <c r="I9" s="40" t="s">
        <v>52</v>
      </c>
      <c r="J9" s="40" t="s">
        <v>53</v>
      </c>
      <c r="K9" s="4"/>
      <c r="L9" s="4"/>
      <c r="M9" s="4"/>
    </row>
    <row r="10" spans="2:14" x14ac:dyDescent="0.45">
      <c r="B10" s="4" t="s">
        <v>5</v>
      </c>
      <c r="C10" s="24">
        <f>C24-SUM(C5:C9)</f>
        <v>573750</v>
      </c>
      <c r="E10" s="4" t="s">
        <v>5</v>
      </c>
      <c r="F10" s="24">
        <f>F24-SUM(F5:F9)</f>
        <v>1463750</v>
      </c>
      <c r="G10" s="4"/>
      <c r="H10" t="s">
        <v>40</v>
      </c>
      <c r="I10" s="41">
        <v>0.02</v>
      </c>
      <c r="J10" s="42">
        <f>I10*I3</f>
        <v>20000</v>
      </c>
      <c r="K10" s="4"/>
      <c r="L10" s="2" t="s">
        <v>27</v>
      </c>
      <c r="M10" s="2"/>
      <c r="N10" s="2"/>
    </row>
    <row r="11" spans="2:14" x14ac:dyDescent="0.45">
      <c r="B11" s="25" t="s">
        <v>7</v>
      </c>
      <c r="C11" s="26">
        <f>C10-C12</f>
        <v>545062.5</v>
      </c>
      <c r="E11" s="25" t="s">
        <v>7</v>
      </c>
      <c r="F11" s="26">
        <f>F10-F12</f>
        <v>1390562.5</v>
      </c>
      <c r="G11" s="4"/>
      <c r="H11" t="s">
        <v>54</v>
      </c>
      <c r="I11" s="41">
        <v>0.05</v>
      </c>
      <c r="J11" s="39">
        <f>I11*J5</f>
        <v>225000</v>
      </c>
      <c r="K11" s="4"/>
      <c r="L11" s="4" t="s">
        <v>56</v>
      </c>
      <c r="N11" s="44">
        <v>0.08</v>
      </c>
    </row>
    <row r="12" spans="2:14" x14ac:dyDescent="0.45">
      <c r="B12" s="25" t="s">
        <v>6</v>
      </c>
      <c r="C12" s="26">
        <f>0.05*C10</f>
        <v>28687.5</v>
      </c>
      <c r="E12" s="25" t="s">
        <v>6</v>
      </c>
      <c r="F12" s="26">
        <f>0.05*F10</f>
        <v>73187.5</v>
      </c>
      <c r="G12" s="4"/>
      <c r="J12" s="42"/>
      <c r="K12" s="4"/>
      <c r="L12" s="4" t="s">
        <v>57</v>
      </c>
      <c r="N12" s="45">
        <v>1.8</v>
      </c>
    </row>
    <row r="13" spans="2:14" x14ac:dyDescent="0.45">
      <c r="B13" s="29" t="s">
        <v>30</v>
      </c>
      <c r="C13" s="30">
        <f>SUM(C5:C10)</f>
        <v>1073750</v>
      </c>
      <c r="E13" s="29" t="s">
        <v>30</v>
      </c>
      <c r="F13" s="30">
        <f>SUM(F5:F10)</f>
        <v>3963750</v>
      </c>
      <c r="G13" s="4"/>
      <c r="H13" s="27" t="s">
        <v>26</v>
      </c>
      <c r="I13" s="27"/>
      <c r="J13" s="27"/>
      <c r="K13" s="4"/>
      <c r="L13" s="4" t="s">
        <v>29</v>
      </c>
      <c r="N13" s="23">
        <v>0.12</v>
      </c>
    </row>
    <row r="14" spans="2:14" x14ac:dyDescent="0.45">
      <c r="B14" s="4"/>
      <c r="C14" s="4"/>
      <c r="E14" s="4"/>
      <c r="F14" s="4"/>
      <c r="G14" s="4"/>
      <c r="H14" s="4" t="s">
        <v>28</v>
      </c>
      <c r="I14" s="4"/>
      <c r="J14" s="28">
        <v>45291</v>
      </c>
      <c r="K14" s="4"/>
      <c r="L14" s="4" t="s">
        <v>58</v>
      </c>
      <c r="N14" s="32">
        <v>2.2000000000000002</v>
      </c>
    </row>
    <row r="15" spans="2:14" x14ac:dyDescent="0.45">
      <c r="B15" s="33" t="s">
        <v>50</v>
      </c>
      <c r="C15" s="34"/>
      <c r="E15" s="33" t="s">
        <v>34</v>
      </c>
      <c r="F15" s="34"/>
      <c r="G15" s="4"/>
      <c r="H15" s="14" t="s">
        <v>31</v>
      </c>
      <c r="I15" s="4"/>
      <c r="J15" s="31">
        <v>10</v>
      </c>
      <c r="K15" s="4"/>
      <c r="L15" s="4" t="s">
        <v>33</v>
      </c>
      <c r="N15" s="7">
        <v>0.06</v>
      </c>
    </row>
    <row r="16" spans="2:14" x14ac:dyDescent="0.45">
      <c r="B16" s="4" t="s">
        <v>36</v>
      </c>
      <c r="C16" s="35">
        <f>I3</f>
        <v>1000000</v>
      </c>
      <c r="E16" s="4" t="s">
        <v>36</v>
      </c>
      <c r="F16" s="35">
        <f t="shared" ref="F16:F26" si="1">C16</f>
        <v>1000000</v>
      </c>
      <c r="G16" s="4"/>
      <c r="H16" s="4" t="s">
        <v>32</v>
      </c>
      <c r="I16" s="4"/>
      <c r="J16" s="28">
        <v>45657</v>
      </c>
      <c r="K16" s="4"/>
      <c r="L16" s="4"/>
      <c r="M16" s="4"/>
    </row>
    <row r="17" spans="2:13" x14ac:dyDescent="0.45">
      <c r="B17" s="4" t="s">
        <v>40</v>
      </c>
      <c r="C17" s="36">
        <f>J10</f>
        <v>20000</v>
      </c>
      <c r="E17" s="4" t="s">
        <v>40</v>
      </c>
      <c r="F17" s="36">
        <f>C17</f>
        <v>20000</v>
      </c>
      <c r="G17" s="4"/>
      <c r="H17" s="4" t="s">
        <v>35</v>
      </c>
      <c r="I17" s="4"/>
      <c r="J17" s="28">
        <f>EOMONTH(J14,J15*12)</f>
        <v>48944</v>
      </c>
      <c r="K17" s="4"/>
      <c r="L17" s="4"/>
      <c r="M17" s="4"/>
    </row>
    <row r="18" spans="2:13" x14ac:dyDescent="0.45">
      <c r="B18" s="4" t="s">
        <v>43</v>
      </c>
      <c r="C18" s="36">
        <v>50000</v>
      </c>
      <c r="E18" s="4" t="s">
        <v>43</v>
      </c>
      <c r="F18" s="36">
        <f>C18</f>
        <v>50000</v>
      </c>
      <c r="G18" s="4"/>
      <c r="H18" s="4"/>
      <c r="I18" s="4"/>
      <c r="J18" s="4"/>
      <c r="K18" s="4"/>
      <c r="L18" s="4"/>
      <c r="M18" s="4"/>
    </row>
    <row r="19" spans="2:13" x14ac:dyDescent="0.45">
      <c r="B19" s="4" t="s">
        <v>44</v>
      </c>
      <c r="C19" s="36">
        <f>$N$4</f>
        <v>3750</v>
      </c>
      <c r="E19" s="4" t="s">
        <v>44</v>
      </c>
      <c r="F19" s="36">
        <f>C19</f>
        <v>3750</v>
      </c>
      <c r="G19" s="4"/>
      <c r="H19" s="2" t="s">
        <v>37</v>
      </c>
      <c r="I19" s="3" t="s">
        <v>38</v>
      </c>
      <c r="J19" s="3" t="s">
        <v>39</v>
      </c>
      <c r="K19" s="4"/>
      <c r="L19" s="4"/>
      <c r="M19" s="4"/>
    </row>
    <row r="20" spans="2:13" x14ac:dyDescent="0.45">
      <c r="B20" s="4" t="s">
        <v>46</v>
      </c>
      <c r="C20" s="36">
        <v>0</v>
      </c>
      <c r="E20" s="4" t="s">
        <v>46</v>
      </c>
      <c r="F20" s="36">
        <v>40000</v>
      </c>
      <c r="G20" s="4"/>
      <c r="H20" s="14" t="s">
        <v>41</v>
      </c>
      <c r="I20" s="7">
        <v>7.0000000000000007E-2</v>
      </c>
      <c r="J20" s="7">
        <v>0.1</v>
      </c>
      <c r="K20" s="4"/>
      <c r="L20" s="4"/>
      <c r="M20" s="4"/>
    </row>
    <row r="21" spans="2:13" x14ac:dyDescent="0.45">
      <c r="B21" s="4" t="s">
        <v>47</v>
      </c>
      <c r="C21" s="36">
        <v>0</v>
      </c>
      <c r="E21" s="4" t="s">
        <v>47</v>
      </c>
      <c r="F21" s="36">
        <v>800000</v>
      </c>
      <c r="G21" s="4"/>
      <c r="H21" s="4" t="s">
        <v>42</v>
      </c>
      <c r="I21" s="7">
        <v>0.05</v>
      </c>
      <c r="J21" s="7">
        <v>8.5000000000000006E-2</v>
      </c>
      <c r="K21" s="4"/>
      <c r="L21" s="4"/>
      <c r="M21" s="4"/>
    </row>
    <row r="22" spans="2:13" x14ac:dyDescent="0.45">
      <c r="B22" s="4" t="s">
        <v>48</v>
      </c>
      <c r="C22" s="24">
        <v>0</v>
      </c>
      <c r="E22" s="4" t="s">
        <v>48</v>
      </c>
      <c r="F22" s="24">
        <v>2000000</v>
      </c>
      <c r="G22" s="4"/>
      <c r="H22" s="4" t="s">
        <v>60</v>
      </c>
      <c r="I22" s="23">
        <v>0.01</v>
      </c>
      <c r="J22" s="7">
        <v>7.0000000000000007E-2</v>
      </c>
      <c r="K22" s="4"/>
      <c r="L22" s="4"/>
      <c r="M22" s="4"/>
    </row>
    <row r="23" spans="2:13" x14ac:dyDescent="0.45">
      <c r="B23" s="4" t="s">
        <v>49</v>
      </c>
      <c r="C23" s="24">
        <v>0</v>
      </c>
      <c r="E23" s="4" t="s">
        <v>49</v>
      </c>
      <c r="F23" s="24">
        <v>50000</v>
      </c>
      <c r="G23" s="4"/>
      <c r="H23" s="4" t="s">
        <v>45</v>
      </c>
      <c r="I23" s="47" t="s">
        <v>14</v>
      </c>
      <c r="J23" s="32">
        <v>2.5</v>
      </c>
      <c r="K23" s="4"/>
      <c r="L23" s="4"/>
      <c r="M23" s="4"/>
    </row>
    <row r="24" spans="2:13" x14ac:dyDescent="0.45">
      <c r="B24" s="37" t="s">
        <v>30</v>
      </c>
      <c r="C24" s="38">
        <f>SUM(C16:C23)</f>
        <v>1073750</v>
      </c>
      <c r="E24" s="37" t="s">
        <v>30</v>
      </c>
      <c r="F24" s="38">
        <f>SUM(F16:F23)</f>
        <v>3963750</v>
      </c>
      <c r="G24" s="4"/>
      <c r="K24" s="4"/>
      <c r="L24" s="4"/>
      <c r="M24" s="4"/>
    </row>
    <row r="25" spans="2:13" x14ac:dyDescent="0.45">
      <c r="G25" s="4"/>
      <c r="H25" s="4"/>
      <c r="I25" s="4"/>
      <c r="J25" s="4"/>
      <c r="K25" s="4"/>
      <c r="L25" s="4"/>
      <c r="M25" s="4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37029-8F3B-4566-90AD-90954AF3ABD1}">
  <dimension ref="A1:N30"/>
  <sheetViews>
    <sheetView showGridLines="0" workbookViewId="0"/>
  </sheetViews>
  <sheetFormatPr defaultRowHeight="14.25" x14ac:dyDescent="0.45"/>
  <cols>
    <col min="1" max="1" width="34.33203125" bestFit="1" customWidth="1"/>
    <col min="2" max="9" width="12.796875" style="71" customWidth="1"/>
    <col min="10" max="12" width="0" hidden="1" customWidth="1"/>
    <col min="13" max="13" width="2.59765625" customWidth="1"/>
    <col min="14" max="14" width="12.796875" bestFit="1" customWidth="1"/>
  </cols>
  <sheetData>
    <row r="1" spans="1:14" s="4" customFormat="1" ht="13.15" x14ac:dyDescent="0.4">
      <c r="A1" s="2" t="s">
        <v>61</v>
      </c>
      <c r="B1" s="43">
        <v>0</v>
      </c>
      <c r="C1" s="43">
        <v>1</v>
      </c>
      <c r="D1" s="43">
        <v>2</v>
      </c>
      <c r="E1" s="43">
        <v>3</v>
      </c>
      <c r="F1" s="43">
        <v>4</v>
      </c>
      <c r="G1" s="43">
        <v>5</v>
      </c>
      <c r="H1" s="43">
        <v>6</v>
      </c>
      <c r="I1" s="43">
        <v>7</v>
      </c>
      <c r="J1" s="43">
        <v>8</v>
      </c>
      <c r="K1" s="43">
        <v>9</v>
      </c>
      <c r="L1" s="43">
        <v>10</v>
      </c>
      <c r="N1" s="40"/>
    </row>
    <row r="2" spans="1:14" s="4" customFormat="1" ht="13.15" x14ac:dyDescent="0.4">
      <c r="A2" s="2" t="s">
        <v>62</v>
      </c>
      <c r="B2" s="48">
        <v>45139</v>
      </c>
      <c r="C2" s="48">
        <v>45535</v>
      </c>
      <c r="D2" s="48">
        <v>45900</v>
      </c>
      <c r="E2" s="48">
        <v>46265</v>
      </c>
      <c r="F2" s="48">
        <v>46630</v>
      </c>
      <c r="G2" s="48">
        <v>46996</v>
      </c>
      <c r="H2" s="48">
        <v>47361</v>
      </c>
      <c r="I2" s="48">
        <v>47726</v>
      </c>
      <c r="J2" s="48">
        <v>48091</v>
      </c>
      <c r="K2" s="48">
        <v>48457</v>
      </c>
      <c r="L2" s="48">
        <v>48822</v>
      </c>
      <c r="N2" s="40" t="s">
        <v>30</v>
      </c>
    </row>
    <row r="3" spans="1:14" s="4" customFormat="1" ht="13.15" x14ac:dyDescent="0.4">
      <c r="A3" s="14"/>
      <c r="B3" s="61"/>
      <c r="C3" s="61"/>
      <c r="D3" s="61"/>
      <c r="E3" s="61"/>
      <c r="F3" s="61"/>
      <c r="G3" s="61"/>
      <c r="H3" s="61"/>
      <c r="I3" s="61"/>
    </row>
    <row r="4" spans="1:14" s="4" customFormat="1" ht="13.15" x14ac:dyDescent="0.4">
      <c r="A4" s="14" t="s">
        <v>63</v>
      </c>
      <c r="B4" s="62"/>
      <c r="C4" s="62">
        <v>100000</v>
      </c>
      <c r="D4" s="62">
        <f>C4*1.03</f>
        <v>103000</v>
      </c>
      <c r="E4" s="62">
        <f t="shared" ref="E4:I4" si="0">D4*1.03</f>
        <v>106090</v>
      </c>
      <c r="F4" s="62">
        <f t="shared" si="0"/>
        <v>109272.7</v>
      </c>
      <c r="G4" s="62">
        <f t="shared" si="0"/>
        <v>112550.88099999999</v>
      </c>
      <c r="H4" s="62">
        <f t="shared" si="0"/>
        <v>115927.40742999999</v>
      </c>
      <c r="I4" s="62">
        <f t="shared" si="0"/>
        <v>119405.2296529</v>
      </c>
      <c r="J4" s="16">
        <v>0</v>
      </c>
      <c r="K4" s="16">
        <v>0</v>
      </c>
      <c r="L4" s="16">
        <v>0</v>
      </c>
      <c r="N4" s="16">
        <f>SUM(A4:M4)</f>
        <v>766246.21808290004</v>
      </c>
    </row>
    <row r="5" spans="1:14" s="4" customFormat="1" ht="13.15" x14ac:dyDescent="0.4">
      <c r="A5" s="14" t="s">
        <v>64</v>
      </c>
      <c r="B5" s="62"/>
      <c r="C5" s="55">
        <f>C4*0.1</f>
        <v>10000</v>
      </c>
      <c r="D5" s="55">
        <f t="shared" ref="D5:I5" si="1">D4*0.1</f>
        <v>10300</v>
      </c>
      <c r="E5" s="55">
        <f t="shared" si="1"/>
        <v>10609</v>
      </c>
      <c r="F5" s="55">
        <f t="shared" si="1"/>
        <v>10927.27</v>
      </c>
      <c r="G5" s="55">
        <f t="shared" si="1"/>
        <v>11255.088100000001</v>
      </c>
      <c r="H5" s="55">
        <f t="shared" si="1"/>
        <v>11592.740743</v>
      </c>
      <c r="I5" s="55">
        <f t="shared" si="1"/>
        <v>11940.522965290002</v>
      </c>
      <c r="J5" s="24">
        <v>0</v>
      </c>
      <c r="K5" s="24">
        <v>0</v>
      </c>
      <c r="L5" s="24">
        <v>0</v>
      </c>
      <c r="M5" s="24"/>
      <c r="N5" s="24">
        <f t="shared" ref="N5:N23" si="2">SUM(A5:M5)</f>
        <v>76624.621808290016</v>
      </c>
    </row>
    <row r="6" spans="1:14" s="4" customFormat="1" ht="13.15" x14ac:dyDescent="0.4">
      <c r="A6" s="50" t="s">
        <v>65</v>
      </c>
      <c r="B6" s="63"/>
      <c r="C6" s="63">
        <f>SUM(C4:C5)</f>
        <v>110000</v>
      </c>
      <c r="D6" s="63">
        <f t="shared" ref="D6:I6" si="3">SUM(D4:D5)</f>
        <v>113300</v>
      </c>
      <c r="E6" s="63">
        <f t="shared" si="3"/>
        <v>116699</v>
      </c>
      <c r="F6" s="63">
        <f t="shared" si="3"/>
        <v>120199.97</v>
      </c>
      <c r="G6" s="63">
        <f t="shared" si="3"/>
        <v>123805.96909999999</v>
      </c>
      <c r="H6" s="63">
        <f t="shared" si="3"/>
        <v>127520.14817299999</v>
      </c>
      <c r="I6" s="63">
        <f t="shared" si="3"/>
        <v>131345.75261819002</v>
      </c>
      <c r="J6" s="51">
        <v>0</v>
      </c>
      <c r="K6" s="51">
        <v>0</v>
      </c>
      <c r="L6" s="51">
        <v>0</v>
      </c>
      <c r="M6" s="52"/>
      <c r="N6" s="51">
        <f t="shared" si="2"/>
        <v>842870.83989118994</v>
      </c>
    </row>
    <row r="7" spans="1:14" s="4" customFormat="1" ht="13.15" x14ac:dyDescent="0.4">
      <c r="A7" s="14" t="s">
        <v>66</v>
      </c>
      <c r="B7" s="62"/>
      <c r="C7" s="55">
        <f>C6*0.35*-1</f>
        <v>-38500</v>
      </c>
      <c r="D7" s="55">
        <f>D6*0.35*-1</f>
        <v>-39655</v>
      </c>
      <c r="E7" s="55">
        <f>E6*0.35*-1</f>
        <v>-40844.649999999994</v>
      </c>
      <c r="F7" s="55">
        <f>F6*0.35*-1</f>
        <v>-42069.989499999996</v>
      </c>
      <c r="G7" s="55">
        <f t="shared" ref="G7:I7" si="4">G6*0.35*-1</f>
        <v>-43332.08918499999</v>
      </c>
      <c r="H7" s="55">
        <f t="shared" si="4"/>
        <v>-44632.051860549996</v>
      </c>
      <c r="I7" s="55">
        <f t="shared" si="4"/>
        <v>-45971.013416366506</v>
      </c>
      <c r="J7" s="24">
        <v>0</v>
      </c>
      <c r="K7" s="24">
        <v>0</v>
      </c>
      <c r="L7" s="24">
        <v>0</v>
      </c>
      <c r="M7" s="24"/>
      <c r="N7" s="24">
        <f t="shared" si="2"/>
        <v>-295004.79396191647</v>
      </c>
    </row>
    <row r="8" spans="1:14" s="4" customFormat="1" ht="13.15" x14ac:dyDescent="0.4">
      <c r="A8" s="53" t="s">
        <v>67</v>
      </c>
      <c r="B8" s="64"/>
      <c r="C8" s="56">
        <f>SUM(C6:C7)</f>
        <v>71500</v>
      </c>
      <c r="D8" s="56">
        <f>SUM(D6:D7)</f>
        <v>73645</v>
      </c>
      <c r="E8" s="56">
        <f>SUM(E6:E7)</f>
        <v>75854.350000000006</v>
      </c>
      <c r="F8" s="56">
        <f>SUM(F6:F7)</f>
        <v>78129.980500000005</v>
      </c>
      <c r="G8" s="56">
        <f>SUM(G6:G7)</f>
        <v>80473.879914999998</v>
      </c>
      <c r="H8" s="56">
        <f>SUM(H6:H7)</f>
        <v>82888.096312449998</v>
      </c>
      <c r="I8" s="56">
        <f>SUM(I6:I7)</f>
        <v>85374.739201823511</v>
      </c>
      <c r="J8" s="54">
        <v>0</v>
      </c>
      <c r="K8" s="54">
        <v>0</v>
      </c>
      <c r="L8" s="54">
        <v>0</v>
      </c>
      <c r="N8" s="54">
        <f t="shared" si="2"/>
        <v>547866.04592927359</v>
      </c>
    </row>
    <row r="9" spans="1:14" s="4" customFormat="1" ht="13.15" x14ac:dyDescent="0.4">
      <c r="A9" s="14" t="s">
        <v>82</v>
      </c>
      <c r="B9" s="55">
        <v>0</v>
      </c>
      <c r="C9" s="55">
        <f>-SUM(trx_summary!F20:F22)</f>
        <v>-2840000</v>
      </c>
      <c r="D9" s="55">
        <v>0</v>
      </c>
      <c r="E9" s="55">
        <v>0</v>
      </c>
      <c r="F9" s="55">
        <v>0</v>
      </c>
      <c r="G9" s="55">
        <v>0</v>
      </c>
      <c r="H9" s="55">
        <v>0</v>
      </c>
      <c r="I9" s="55">
        <v>0</v>
      </c>
      <c r="J9" s="24"/>
      <c r="K9" s="24"/>
      <c r="L9" s="24"/>
      <c r="N9" s="55">
        <f t="shared" si="2"/>
        <v>-2840000</v>
      </c>
    </row>
    <row r="10" spans="1:14" s="4" customFormat="1" ht="13.15" x14ac:dyDescent="0.4">
      <c r="A10" s="53" t="s">
        <v>68</v>
      </c>
      <c r="B10" s="56">
        <f>SUM(B8:B9)</f>
        <v>0</v>
      </c>
      <c r="C10" s="56">
        <f t="shared" ref="C10:I10" si="5">SUM(C8:C9)</f>
        <v>-2768500</v>
      </c>
      <c r="D10" s="56">
        <f t="shared" si="5"/>
        <v>73645</v>
      </c>
      <c r="E10" s="56">
        <f t="shared" si="5"/>
        <v>75854.350000000006</v>
      </c>
      <c r="F10" s="56">
        <f t="shared" si="5"/>
        <v>78129.980500000005</v>
      </c>
      <c r="G10" s="56">
        <f t="shared" si="5"/>
        <v>80473.879914999998</v>
      </c>
      <c r="H10" s="56">
        <f t="shared" si="5"/>
        <v>82888.096312449998</v>
      </c>
      <c r="I10" s="56">
        <f t="shared" si="5"/>
        <v>85374.739201823511</v>
      </c>
      <c r="J10" s="54">
        <v>0</v>
      </c>
      <c r="K10" s="54">
        <v>0</v>
      </c>
      <c r="L10" s="54">
        <v>0</v>
      </c>
      <c r="N10" s="54">
        <f t="shared" si="2"/>
        <v>-2292133.9540707264</v>
      </c>
    </row>
    <row r="11" spans="1:14" s="4" customFormat="1" ht="13.15" x14ac:dyDescent="0.4">
      <c r="A11" s="14" t="s">
        <v>69</v>
      </c>
      <c r="B11" s="62"/>
      <c r="C11" s="62">
        <f>trx_summary!N5*-1</f>
        <v>-32500</v>
      </c>
      <c r="D11" s="62">
        <f>trx_summary!O5*-1</f>
        <v>0</v>
      </c>
      <c r="E11" s="62">
        <f>trx_summary!P5*-1</f>
        <v>0</v>
      </c>
      <c r="F11" s="62">
        <f>trx_summary!Q5*-1</f>
        <v>0</v>
      </c>
      <c r="G11" s="62">
        <f>trx_summary!R5*-1</f>
        <v>0</v>
      </c>
      <c r="H11" s="62">
        <f>trx_summary!S5*-1</f>
        <v>0</v>
      </c>
      <c r="I11" s="62">
        <f>trx_summary!T5*-1</f>
        <v>0</v>
      </c>
      <c r="J11" s="16">
        <v>0</v>
      </c>
      <c r="K11" s="16">
        <v>0</v>
      </c>
      <c r="L11" s="16">
        <v>0</v>
      </c>
      <c r="N11" s="16">
        <f t="shared" si="2"/>
        <v>-32500</v>
      </c>
    </row>
    <row r="12" spans="1:14" s="4" customFormat="1" ht="13.15" x14ac:dyDescent="0.4">
      <c r="A12" s="14" t="s">
        <v>22</v>
      </c>
      <c r="B12" s="55"/>
      <c r="C12" s="55">
        <v>0</v>
      </c>
      <c r="D12" s="55">
        <v>-10000</v>
      </c>
      <c r="E12" s="55">
        <f>D12*1.03</f>
        <v>-10300</v>
      </c>
      <c r="F12" s="55">
        <f t="shared" ref="F12:I12" si="6">E12*1.03</f>
        <v>-10609</v>
      </c>
      <c r="G12" s="55">
        <f t="shared" si="6"/>
        <v>-10927.27</v>
      </c>
      <c r="H12" s="55">
        <f t="shared" si="6"/>
        <v>-11255.088100000001</v>
      </c>
      <c r="I12" s="55">
        <f t="shared" si="6"/>
        <v>-11592.740743</v>
      </c>
      <c r="J12" s="24">
        <v>0</v>
      </c>
      <c r="K12" s="24">
        <v>0</v>
      </c>
      <c r="L12" s="24">
        <v>0</v>
      </c>
      <c r="N12" s="24">
        <f t="shared" si="2"/>
        <v>-64684.098843000007</v>
      </c>
    </row>
    <row r="13" spans="1:14" s="4" customFormat="1" ht="13.15" x14ac:dyDescent="0.4">
      <c r="A13" s="53" t="s">
        <v>70</v>
      </c>
      <c r="B13" s="56">
        <f>SUM(B10:B12)</f>
        <v>0</v>
      </c>
      <c r="C13" s="56">
        <f>SUM(C10:C12)</f>
        <v>-2801000</v>
      </c>
      <c r="D13" s="56">
        <f>SUM(D10:D12)</f>
        <v>63645</v>
      </c>
      <c r="E13" s="56">
        <f>SUM(E10:E12)</f>
        <v>65554.350000000006</v>
      </c>
      <c r="F13" s="56">
        <f>SUM(F10:F12)</f>
        <v>67520.980500000005</v>
      </c>
      <c r="G13" s="56">
        <f>SUM(G10:G12)</f>
        <v>69546.609914999994</v>
      </c>
      <c r="H13" s="56">
        <f>SUM(H10:H12)</f>
        <v>71633.00821244999</v>
      </c>
      <c r="I13" s="56">
        <f>SUM(I10:I12)</f>
        <v>73781.998458823509</v>
      </c>
      <c r="J13" s="54">
        <v>0</v>
      </c>
      <c r="K13" s="54">
        <v>0</v>
      </c>
      <c r="L13" s="54">
        <v>0</v>
      </c>
      <c r="N13" s="56">
        <f t="shared" si="2"/>
        <v>-2389318.0529137263</v>
      </c>
    </row>
    <row r="14" spans="1:14" s="4" customFormat="1" ht="13.15" x14ac:dyDescent="0.4">
      <c r="A14" s="14" t="s">
        <v>36</v>
      </c>
      <c r="B14" s="55">
        <f>trx_summary!C16*-1</f>
        <v>-1000000</v>
      </c>
      <c r="C14" s="55">
        <v>0</v>
      </c>
      <c r="D14" s="55"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24">
        <v>0</v>
      </c>
      <c r="K14" s="24">
        <v>0</v>
      </c>
      <c r="L14" s="24">
        <v>0</v>
      </c>
      <c r="M14" s="24"/>
      <c r="N14" s="24">
        <f t="shared" si="2"/>
        <v>-1000000</v>
      </c>
    </row>
    <row r="15" spans="1:14" s="4" customFormat="1" ht="13.15" x14ac:dyDescent="0.4">
      <c r="A15" s="14" t="s">
        <v>40</v>
      </c>
      <c r="B15" s="55">
        <f>trx_summary!C17*-1</f>
        <v>-20000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24">
        <v>0</v>
      </c>
      <c r="K15" s="24">
        <v>0</v>
      </c>
      <c r="L15" s="24">
        <v>0</v>
      </c>
      <c r="N15" s="24">
        <f t="shared" si="2"/>
        <v>-20000</v>
      </c>
    </row>
    <row r="16" spans="1:14" s="4" customFormat="1" ht="13.15" x14ac:dyDescent="0.4">
      <c r="A16" s="14" t="s">
        <v>71</v>
      </c>
      <c r="B16" s="55">
        <v>0</v>
      </c>
      <c r="C16" s="55">
        <v>0</v>
      </c>
      <c r="D16" s="55">
        <v>0</v>
      </c>
      <c r="E16" s="55">
        <v>0</v>
      </c>
      <c r="F16" s="55">
        <v>0</v>
      </c>
      <c r="G16" s="55">
        <v>0</v>
      </c>
      <c r="H16" s="55">
        <v>0</v>
      </c>
      <c r="I16" s="55">
        <f>trx_summary!$J$5</f>
        <v>4500000</v>
      </c>
      <c r="J16" s="24">
        <v>0</v>
      </c>
      <c r="K16" s="24">
        <v>0</v>
      </c>
      <c r="L16" s="24">
        <v>0</v>
      </c>
      <c r="N16" s="24">
        <f t="shared" si="2"/>
        <v>4500000</v>
      </c>
    </row>
    <row r="17" spans="1:14" s="4" customFormat="1" ht="13.15" x14ac:dyDescent="0.4">
      <c r="A17" s="14" t="s">
        <v>54</v>
      </c>
      <c r="B17" s="55">
        <v>0</v>
      </c>
      <c r="C17" s="55">
        <v>0</v>
      </c>
      <c r="D17" s="55">
        <v>0</v>
      </c>
      <c r="E17" s="55">
        <v>0</v>
      </c>
      <c r="F17" s="55">
        <v>0</v>
      </c>
      <c r="G17" s="55">
        <v>0</v>
      </c>
      <c r="H17" s="55">
        <v>0</v>
      </c>
      <c r="I17" s="55">
        <f>-trx_summary!$J$11</f>
        <v>-225000</v>
      </c>
      <c r="J17" s="24">
        <v>0</v>
      </c>
      <c r="K17" s="24">
        <v>0</v>
      </c>
      <c r="L17" s="24">
        <v>0</v>
      </c>
      <c r="N17" s="24">
        <f t="shared" si="2"/>
        <v>-225000</v>
      </c>
    </row>
    <row r="18" spans="1:14" s="4" customFormat="1" ht="13.15" x14ac:dyDescent="0.4">
      <c r="A18" s="53" t="s">
        <v>72</v>
      </c>
      <c r="B18" s="56">
        <f>SUM(B13:B17)</f>
        <v>-1020000</v>
      </c>
      <c r="C18" s="56">
        <f t="shared" ref="C18:I18" si="7">SUM(C13:C17)</f>
        <v>-2801000</v>
      </c>
      <c r="D18" s="56">
        <f t="shared" si="7"/>
        <v>63645</v>
      </c>
      <c r="E18" s="56">
        <f t="shared" si="7"/>
        <v>65554.350000000006</v>
      </c>
      <c r="F18" s="56">
        <f t="shared" si="7"/>
        <v>67520.980500000005</v>
      </c>
      <c r="G18" s="56">
        <f t="shared" si="7"/>
        <v>69546.609914999994</v>
      </c>
      <c r="H18" s="56">
        <f t="shared" si="7"/>
        <v>71633.00821244999</v>
      </c>
      <c r="I18" s="56">
        <f t="shared" si="7"/>
        <v>4348781.9984588232</v>
      </c>
      <c r="J18" s="54">
        <v>0</v>
      </c>
      <c r="K18" s="54">
        <v>0</v>
      </c>
      <c r="L18" s="54">
        <v>0</v>
      </c>
      <c r="N18" s="54">
        <f t="shared" si="2"/>
        <v>865681.94708627323</v>
      </c>
    </row>
    <row r="19" spans="1:14" s="4" customFormat="1" ht="13.15" x14ac:dyDescent="0.4">
      <c r="A19" s="14" t="s">
        <v>73</v>
      </c>
      <c r="B19" s="62">
        <f>trx_summary!C5</f>
        <v>500000</v>
      </c>
      <c r="C19" s="62">
        <f>trx_summary!F6</f>
        <v>2000000</v>
      </c>
      <c r="D19" s="62">
        <v>0</v>
      </c>
      <c r="E19" s="62">
        <v>0</v>
      </c>
      <c r="F19" s="62">
        <v>0</v>
      </c>
      <c r="G19" s="62">
        <v>0</v>
      </c>
      <c r="H19" s="62">
        <v>0</v>
      </c>
      <c r="I19" s="62">
        <v>0</v>
      </c>
      <c r="J19" s="16">
        <v>0</v>
      </c>
      <c r="K19" s="16">
        <v>0</v>
      </c>
      <c r="L19" s="16">
        <v>0</v>
      </c>
      <c r="N19" s="16">
        <f t="shared" si="2"/>
        <v>2500000</v>
      </c>
    </row>
    <row r="20" spans="1:14" s="4" customFormat="1" ht="13.15" x14ac:dyDescent="0.4">
      <c r="A20" s="14" t="s">
        <v>74</v>
      </c>
      <c r="B20" s="55">
        <v>0</v>
      </c>
      <c r="C20" s="55">
        <v>0</v>
      </c>
      <c r="D20" s="55">
        <v>0</v>
      </c>
      <c r="E20" s="55">
        <v>0</v>
      </c>
      <c r="F20" s="55">
        <v>0</v>
      </c>
      <c r="G20" s="55">
        <v>0</v>
      </c>
      <c r="H20" s="55">
        <v>0</v>
      </c>
      <c r="I20" s="55">
        <f>-B19-C19</f>
        <v>-2500000</v>
      </c>
      <c r="J20" s="24">
        <v>0</v>
      </c>
      <c r="K20" s="24">
        <v>0</v>
      </c>
      <c r="L20" s="24">
        <v>0</v>
      </c>
      <c r="N20" s="24">
        <f t="shared" si="2"/>
        <v>-2500000</v>
      </c>
    </row>
    <row r="21" spans="1:14" s="4" customFormat="1" ht="13.15" x14ac:dyDescent="0.4">
      <c r="A21" s="14" t="s">
        <v>59</v>
      </c>
      <c r="B21" s="55">
        <f>-trx_summary!N4</f>
        <v>-3750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24">
        <v>0</v>
      </c>
      <c r="K21" s="24">
        <v>0</v>
      </c>
      <c r="L21" s="24">
        <v>0</v>
      </c>
      <c r="N21" s="24">
        <f t="shared" si="2"/>
        <v>-3750</v>
      </c>
    </row>
    <row r="22" spans="1:14" s="4" customFormat="1" ht="13.15" x14ac:dyDescent="0.4">
      <c r="A22" s="14" t="s">
        <v>75</v>
      </c>
      <c r="B22" s="55">
        <f>-trx_summary!C18</f>
        <v>-50000</v>
      </c>
      <c r="C22" s="55">
        <v>0</v>
      </c>
      <c r="D22" s="55">
        <v>0</v>
      </c>
      <c r="E22" s="55">
        <v>0</v>
      </c>
      <c r="F22" s="55">
        <v>0</v>
      </c>
      <c r="G22" s="55">
        <v>0</v>
      </c>
      <c r="H22" s="55">
        <v>0</v>
      </c>
      <c r="I22" s="55">
        <v>0</v>
      </c>
      <c r="J22" s="24">
        <v>0</v>
      </c>
      <c r="K22" s="24">
        <v>0</v>
      </c>
      <c r="L22" s="24">
        <v>0</v>
      </c>
      <c r="N22" s="24">
        <f t="shared" si="2"/>
        <v>-50000</v>
      </c>
    </row>
    <row r="23" spans="1:14" s="4" customFormat="1" ht="13.15" x14ac:dyDescent="0.4">
      <c r="A23" s="14" t="s">
        <v>76</v>
      </c>
      <c r="B23" s="55">
        <v>0</v>
      </c>
      <c r="C23" s="55">
        <f>B22*-1</f>
        <v>50000</v>
      </c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24">
        <v>0</v>
      </c>
      <c r="K23" s="24">
        <v>0</v>
      </c>
      <c r="L23" s="24">
        <v>0</v>
      </c>
      <c r="N23" s="24">
        <f t="shared" si="2"/>
        <v>50000</v>
      </c>
    </row>
    <row r="24" spans="1:14" s="4" customFormat="1" ht="13.15" x14ac:dyDescent="0.4">
      <c r="A24" s="53" t="s">
        <v>77</v>
      </c>
      <c r="B24" s="56">
        <f>SUM(B18:B23)</f>
        <v>-573750</v>
      </c>
      <c r="C24" s="56">
        <f>SUM(C18:C23)</f>
        <v>-751000</v>
      </c>
      <c r="D24" s="56">
        <f>SUM(D18:D23)</f>
        <v>63645</v>
      </c>
      <c r="E24" s="56">
        <f>SUM(E18:E23)</f>
        <v>65554.350000000006</v>
      </c>
      <c r="F24" s="56">
        <f>SUM(F18:F23)</f>
        <v>67520.980500000005</v>
      </c>
      <c r="G24" s="56">
        <f>SUM(G18:G23)</f>
        <v>69546.609914999994</v>
      </c>
      <c r="H24" s="56">
        <f t="shared" ref="H24" si="8">SUM(H18:H23)</f>
        <v>71633.00821244999</v>
      </c>
      <c r="I24" s="56">
        <f>SUM(I18:I23)</f>
        <v>1848781.9984588232</v>
      </c>
      <c r="J24" s="54">
        <v>0</v>
      </c>
      <c r="K24" s="54">
        <v>0</v>
      </c>
      <c r="L24" s="54">
        <v>0</v>
      </c>
      <c r="N24" s="54">
        <f>SUM(A24:M24)</f>
        <v>861931.94708627323</v>
      </c>
    </row>
    <row r="25" spans="1:14" s="4" customFormat="1" ht="13.15" x14ac:dyDescent="0.4">
      <c r="A25" s="14"/>
      <c r="B25" s="65"/>
      <c r="C25" s="65"/>
      <c r="D25" s="65"/>
      <c r="E25" s="65"/>
      <c r="F25" s="65"/>
      <c r="G25" s="65"/>
      <c r="H25" s="65"/>
      <c r="I25" s="65"/>
      <c r="J25" s="49"/>
      <c r="K25" s="49"/>
      <c r="L25" s="49"/>
    </row>
    <row r="26" spans="1:14" s="4" customFormat="1" ht="13.15" x14ac:dyDescent="0.4">
      <c r="A26" s="57" t="s">
        <v>45</v>
      </c>
      <c r="B26" s="66"/>
      <c r="C26" s="67">
        <v>0.5</v>
      </c>
      <c r="D26" s="67">
        <v>2</v>
      </c>
      <c r="E26" s="67">
        <v>2.1</v>
      </c>
      <c r="F26" s="67">
        <v>2.2000000000000002</v>
      </c>
      <c r="G26" s="67">
        <v>2.25</v>
      </c>
      <c r="H26" s="67">
        <v>2.4</v>
      </c>
      <c r="I26" s="67">
        <v>2.5</v>
      </c>
      <c r="J26" s="58" t="e">
        <v>#DIV/0!</v>
      </c>
      <c r="K26" s="58" t="e">
        <v>#DIV/0!</v>
      </c>
      <c r="L26" s="59"/>
    </row>
    <row r="27" spans="1:14" s="4" customFormat="1" ht="13.15" x14ac:dyDescent="0.4">
      <c r="A27" s="14" t="s">
        <v>78</v>
      </c>
      <c r="B27" s="65"/>
      <c r="C27" s="68">
        <v>0.02</v>
      </c>
      <c r="D27" s="68">
        <v>0.03</v>
      </c>
      <c r="E27" s="68">
        <v>0.04</v>
      </c>
      <c r="F27" s="68">
        <v>0.06</v>
      </c>
      <c r="G27" s="68">
        <v>7.0000000000000007E-2</v>
      </c>
      <c r="H27" s="68">
        <v>7.0999999999999994E-2</v>
      </c>
      <c r="I27" s="68">
        <v>7.3999999999999996E-2</v>
      </c>
      <c r="J27" s="13">
        <v>0</v>
      </c>
      <c r="K27" s="13">
        <v>0</v>
      </c>
      <c r="L27" s="49"/>
    </row>
    <row r="28" spans="1:14" s="4" customFormat="1" ht="13.15" x14ac:dyDescent="0.4">
      <c r="A28" s="14" t="s">
        <v>79</v>
      </c>
      <c r="B28" s="65"/>
      <c r="C28" s="68">
        <v>0.02</v>
      </c>
      <c r="D28" s="68">
        <v>0.03</v>
      </c>
      <c r="E28" s="68">
        <v>0.04</v>
      </c>
      <c r="F28" s="68">
        <v>0.06</v>
      </c>
      <c r="G28" s="68">
        <v>7.0000000000000007E-2</v>
      </c>
      <c r="H28" s="68">
        <v>7.0999999999999994E-2</v>
      </c>
      <c r="I28" s="68">
        <v>7.3999999999999996E-2</v>
      </c>
      <c r="J28" s="13">
        <v>0</v>
      </c>
      <c r="K28" s="13">
        <v>0</v>
      </c>
      <c r="L28" s="49"/>
    </row>
    <row r="29" spans="1:14" s="4" customFormat="1" ht="13.15" x14ac:dyDescent="0.4">
      <c r="A29" s="14" t="s">
        <v>80</v>
      </c>
      <c r="B29" s="65"/>
      <c r="C29" s="68">
        <v>0.05</v>
      </c>
      <c r="D29" s="68">
        <v>0.05</v>
      </c>
      <c r="E29" s="68">
        <v>0.05</v>
      </c>
      <c r="F29" s="68">
        <v>0.05</v>
      </c>
      <c r="G29" s="68">
        <v>0.05</v>
      </c>
      <c r="H29" s="68">
        <v>0.05</v>
      </c>
      <c r="I29" s="68">
        <v>0.05</v>
      </c>
      <c r="J29" s="13">
        <v>0</v>
      </c>
      <c r="K29" s="13">
        <v>0</v>
      </c>
      <c r="L29" s="49"/>
    </row>
    <row r="30" spans="1:14" s="4" customFormat="1" ht="13.15" x14ac:dyDescent="0.4">
      <c r="A30" s="60" t="s">
        <v>81</v>
      </c>
      <c r="B30" s="69"/>
      <c r="C30" s="70">
        <f>C8/C6</f>
        <v>0.65</v>
      </c>
      <c r="D30" s="70">
        <f t="shared" ref="D30:I30" si="9">D8/D6</f>
        <v>0.65</v>
      </c>
      <c r="E30" s="70">
        <f t="shared" si="9"/>
        <v>0.65</v>
      </c>
      <c r="F30" s="70">
        <f t="shared" si="9"/>
        <v>0.65</v>
      </c>
      <c r="G30" s="70">
        <f t="shared" si="9"/>
        <v>0.65</v>
      </c>
      <c r="H30" s="70">
        <f t="shared" si="9"/>
        <v>0.65</v>
      </c>
      <c r="I30" s="70">
        <f t="shared" si="9"/>
        <v>0.65</v>
      </c>
      <c r="J30" s="49"/>
      <c r="K30" s="49"/>
      <c r="L30" s="49"/>
    </row>
  </sheetData>
  <pageMargins left="0.7" right="0.7" top="0.75" bottom="0.75" header="0.3" footer="0.3"/>
  <pageSetup orientation="portrait" horizontalDpi="1200" verticalDpi="1200" r:id="rId1"/>
  <ignoredErrors>
    <ignoredError sqref="C7 D7:I7 C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48CDC-DFAB-4956-801B-0CC1FF962B71}">
  <dimension ref="A1:L18"/>
  <sheetViews>
    <sheetView showGridLines="0" workbookViewId="0"/>
  </sheetViews>
  <sheetFormatPr defaultRowHeight="14.25" x14ac:dyDescent="0.45"/>
  <cols>
    <col min="1" max="1" width="25.53125" bestFit="1" customWidth="1"/>
    <col min="2" max="2" width="15.73046875" bestFit="1" customWidth="1"/>
    <col min="3" max="3" width="6.86328125" bestFit="1" customWidth="1"/>
    <col min="4" max="4" width="8.59765625" customWidth="1"/>
    <col min="5" max="5" width="17.46484375" bestFit="1" customWidth="1"/>
    <col min="6" max="6" width="15.86328125" bestFit="1" customWidth="1"/>
    <col min="7" max="7" width="7.796875" bestFit="1" customWidth="1"/>
    <col min="8" max="8" width="9.1328125" bestFit="1" customWidth="1"/>
    <col min="9" max="9" width="7.86328125" bestFit="1" customWidth="1"/>
    <col min="10" max="10" width="8.33203125" bestFit="1" customWidth="1"/>
    <col min="11" max="12" width="7.796875" bestFit="1" customWidth="1"/>
  </cols>
  <sheetData>
    <row r="1" spans="1:12" ht="28.5" x14ac:dyDescent="0.45">
      <c r="A1" s="72" t="s">
        <v>83</v>
      </c>
      <c r="B1" s="72" t="s">
        <v>84</v>
      </c>
      <c r="C1" s="72" t="s">
        <v>85</v>
      </c>
      <c r="D1" s="72" t="s">
        <v>86</v>
      </c>
      <c r="E1" s="72" t="s">
        <v>87</v>
      </c>
      <c r="F1" s="72" t="s">
        <v>88</v>
      </c>
      <c r="G1" s="73" t="s">
        <v>89</v>
      </c>
      <c r="H1" s="73" t="s">
        <v>90</v>
      </c>
      <c r="I1" s="73" t="s">
        <v>91</v>
      </c>
      <c r="J1" s="73" t="s">
        <v>92</v>
      </c>
      <c r="K1" s="73" t="s">
        <v>93</v>
      </c>
      <c r="L1" s="73" t="s">
        <v>94</v>
      </c>
    </row>
    <row r="3" spans="1:12" x14ac:dyDescent="0.45">
      <c r="A3" s="74" t="s">
        <v>95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x14ac:dyDescent="0.45">
      <c r="A4" s="75" t="s">
        <v>107</v>
      </c>
      <c r="B4" s="75" t="s">
        <v>113</v>
      </c>
      <c r="C4" s="75" t="s">
        <v>96</v>
      </c>
      <c r="D4" s="75" t="s">
        <v>97</v>
      </c>
      <c r="E4" s="75" t="s">
        <v>119</v>
      </c>
      <c r="F4" s="75" t="s">
        <v>98</v>
      </c>
      <c r="G4" s="76">
        <v>1000</v>
      </c>
      <c r="H4" s="77">
        <v>10</v>
      </c>
      <c r="I4" s="78">
        <v>50</v>
      </c>
      <c r="J4" s="78">
        <v>10</v>
      </c>
      <c r="K4" s="79">
        <v>78.5</v>
      </c>
      <c r="L4" s="79">
        <v>150</v>
      </c>
    </row>
    <row r="5" spans="1:12" x14ac:dyDescent="0.45">
      <c r="A5" s="80" t="s">
        <v>108</v>
      </c>
      <c r="B5" s="80" t="s">
        <v>113</v>
      </c>
      <c r="C5" s="80" t="s">
        <v>114</v>
      </c>
      <c r="D5" s="80" t="s">
        <v>99</v>
      </c>
      <c r="E5" s="80" t="s">
        <v>119</v>
      </c>
      <c r="F5" s="80" t="s">
        <v>101</v>
      </c>
      <c r="G5" s="81">
        <v>1000</v>
      </c>
      <c r="H5" s="82">
        <v>5</v>
      </c>
      <c r="I5" s="81">
        <v>25</v>
      </c>
      <c r="J5" s="83">
        <v>0</v>
      </c>
      <c r="K5" s="81">
        <v>73.5</v>
      </c>
      <c r="L5" s="81">
        <v>0</v>
      </c>
    </row>
    <row r="6" spans="1:12" x14ac:dyDescent="0.45">
      <c r="A6" s="75" t="s">
        <v>109</v>
      </c>
      <c r="B6" s="75" t="s">
        <v>113</v>
      </c>
      <c r="C6" s="75" t="s">
        <v>115</v>
      </c>
      <c r="D6" s="75" t="s">
        <v>100</v>
      </c>
      <c r="E6" s="75" t="s">
        <v>119</v>
      </c>
      <c r="F6" s="75" t="s">
        <v>98</v>
      </c>
      <c r="G6" s="76">
        <v>1000</v>
      </c>
      <c r="H6" s="77">
        <v>10</v>
      </c>
      <c r="I6" s="76">
        <v>50</v>
      </c>
      <c r="J6" s="84">
        <v>10</v>
      </c>
      <c r="K6" s="76">
        <v>42</v>
      </c>
      <c r="L6" s="76">
        <v>150</v>
      </c>
    </row>
    <row r="7" spans="1:12" x14ac:dyDescent="0.45">
      <c r="A7" s="80" t="s">
        <v>110</v>
      </c>
      <c r="B7" s="80" t="s">
        <v>113</v>
      </c>
      <c r="C7" s="80" t="s">
        <v>102</v>
      </c>
      <c r="D7" s="80" t="s">
        <v>100</v>
      </c>
      <c r="E7" s="80" t="s">
        <v>119</v>
      </c>
      <c r="F7" s="80" t="s">
        <v>101</v>
      </c>
      <c r="G7" s="81">
        <v>1000</v>
      </c>
      <c r="H7" s="82">
        <v>5</v>
      </c>
      <c r="I7" s="81">
        <v>25</v>
      </c>
      <c r="J7" s="83">
        <v>0</v>
      </c>
      <c r="K7" s="81">
        <v>43.85</v>
      </c>
      <c r="L7" s="81">
        <v>0</v>
      </c>
    </row>
    <row r="8" spans="1:12" x14ac:dyDescent="0.45">
      <c r="A8" s="75" t="s">
        <v>111</v>
      </c>
      <c r="B8" s="75" t="s">
        <v>113</v>
      </c>
      <c r="C8" s="75" t="s">
        <v>116</v>
      </c>
      <c r="D8" s="75" t="s">
        <v>100</v>
      </c>
      <c r="E8" s="75" t="s">
        <v>119</v>
      </c>
      <c r="F8" s="75" t="s">
        <v>98</v>
      </c>
      <c r="G8" s="76">
        <v>1000</v>
      </c>
      <c r="H8" s="77">
        <v>10</v>
      </c>
      <c r="I8" s="76">
        <v>50</v>
      </c>
      <c r="J8" s="84">
        <v>10</v>
      </c>
      <c r="K8" s="76">
        <v>44</v>
      </c>
      <c r="L8" s="76">
        <v>150</v>
      </c>
    </row>
    <row r="9" spans="1:12" x14ac:dyDescent="0.45">
      <c r="A9" s="80" t="s">
        <v>112</v>
      </c>
      <c r="B9" s="80" t="s">
        <v>113</v>
      </c>
      <c r="C9" s="80" t="s">
        <v>117</v>
      </c>
      <c r="D9" s="80" t="s">
        <v>103</v>
      </c>
      <c r="E9" s="80" t="s">
        <v>119</v>
      </c>
      <c r="F9" s="80" t="s">
        <v>101</v>
      </c>
      <c r="G9" s="81">
        <v>1000</v>
      </c>
      <c r="H9" s="82">
        <v>5</v>
      </c>
      <c r="I9" s="81">
        <v>25</v>
      </c>
      <c r="J9" s="85">
        <v>0</v>
      </c>
      <c r="K9" s="86">
        <v>35</v>
      </c>
      <c r="L9" s="81">
        <v>0</v>
      </c>
    </row>
    <row r="10" spans="1:12" x14ac:dyDescent="0.45">
      <c r="A10" s="87" t="s">
        <v>104</v>
      </c>
      <c r="B10" s="87"/>
      <c r="C10" s="87"/>
      <c r="D10" s="87"/>
      <c r="E10" s="87"/>
      <c r="F10" s="87" t="s">
        <v>98</v>
      </c>
      <c r="G10" s="88">
        <f>SUMIFS(G$4:G$9,$F$4:$F$9,$F10)</f>
        <v>3000</v>
      </c>
      <c r="H10" s="89">
        <v>10</v>
      </c>
      <c r="I10" s="90">
        <v>50</v>
      </c>
      <c r="J10" s="91">
        <v>10</v>
      </c>
      <c r="K10" s="90">
        <v>60</v>
      </c>
      <c r="L10" s="90">
        <v>150</v>
      </c>
    </row>
    <row r="11" spans="1:12" x14ac:dyDescent="0.45">
      <c r="A11" s="92" t="s">
        <v>105</v>
      </c>
      <c r="B11" s="92"/>
      <c r="C11" s="92"/>
      <c r="D11" s="92"/>
      <c r="E11" s="92"/>
      <c r="F11" s="92" t="s">
        <v>101</v>
      </c>
      <c r="G11" s="98">
        <f>SUMIFS(G$4:G$9,$F$4:$F$9,$F11)</f>
        <v>3000</v>
      </c>
      <c r="H11" s="94">
        <v>5</v>
      </c>
      <c r="I11" s="93">
        <v>25</v>
      </c>
      <c r="J11" s="95">
        <v>0</v>
      </c>
      <c r="K11" s="93">
        <v>25</v>
      </c>
      <c r="L11" s="96">
        <v>0</v>
      </c>
    </row>
    <row r="12" spans="1:12" x14ac:dyDescent="0.45">
      <c r="A12" s="75"/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</row>
    <row r="13" spans="1:12" x14ac:dyDescent="0.45">
      <c r="A13" s="74" t="s">
        <v>106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</row>
    <row r="14" spans="1:12" x14ac:dyDescent="0.45">
      <c r="A14" s="75" t="s">
        <v>120</v>
      </c>
      <c r="B14" s="75" t="s">
        <v>113</v>
      </c>
      <c r="C14" s="75" t="s">
        <v>96</v>
      </c>
      <c r="D14" s="97">
        <v>45382</v>
      </c>
      <c r="E14" s="75" t="s">
        <v>119</v>
      </c>
      <c r="F14" s="75" t="s">
        <v>98</v>
      </c>
      <c r="G14" s="76">
        <v>1000</v>
      </c>
      <c r="H14" s="77">
        <v>10</v>
      </c>
      <c r="I14" s="79">
        <v>50</v>
      </c>
      <c r="J14" s="79">
        <v>10</v>
      </c>
      <c r="K14" s="79">
        <v>52.451211898048832</v>
      </c>
      <c r="L14" s="76">
        <v>140</v>
      </c>
    </row>
    <row r="15" spans="1:12" x14ac:dyDescent="0.45">
      <c r="A15" s="75" t="s">
        <v>121</v>
      </c>
      <c r="B15" s="75" t="s">
        <v>113</v>
      </c>
      <c r="C15" s="75" t="s">
        <v>118</v>
      </c>
      <c r="D15" s="97">
        <v>45382</v>
      </c>
      <c r="E15" s="75" t="s">
        <v>119</v>
      </c>
      <c r="F15" s="75" t="s">
        <v>101</v>
      </c>
      <c r="G15" s="76">
        <v>1000</v>
      </c>
      <c r="H15" s="77">
        <v>5</v>
      </c>
      <c r="I15" s="76">
        <v>25</v>
      </c>
      <c r="J15" s="76">
        <v>0</v>
      </c>
      <c r="K15" s="76">
        <v>43.031211898048831</v>
      </c>
      <c r="L15" s="76">
        <v>35</v>
      </c>
    </row>
    <row r="16" spans="1:12" x14ac:dyDescent="0.45">
      <c r="A16" s="75" t="s">
        <v>122</v>
      </c>
      <c r="B16" s="75" t="s">
        <v>113</v>
      </c>
      <c r="C16" s="75" t="s">
        <v>117</v>
      </c>
      <c r="D16" s="97">
        <v>45382</v>
      </c>
      <c r="E16" s="75" t="s">
        <v>119</v>
      </c>
      <c r="F16" s="75" t="s">
        <v>98</v>
      </c>
      <c r="G16" s="76">
        <v>1000</v>
      </c>
      <c r="H16" s="77">
        <v>10</v>
      </c>
      <c r="I16" s="76">
        <v>50</v>
      </c>
      <c r="J16" s="76">
        <v>10</v>
      </c>
      <c r="K16" s="76">
        <v>43.031211898048831</v>
      </c>
      <c r="L16" s="76">
        <v>35</v>
      </c>
    </row>
    <row r="17" spans="1:12" x14ac:dyDescent="0.45">
      <c r="A17" s="87" t="s">
        <v>104</v>
      </c>
      <c r="B17" s="87"/>
      <c r="C17" s="87"/>
      <c r="D17" s="87"/>
      <c r="E17" s="87"/>
      <c r="F17" s="87" t="s">
        <v>98</v>
      </c>
      <c r="G17" s="88">
        <f>SUMIFS(G14:G16,F14:F16,F17)</f>
        <v>2000</v>
      </c>
      <c r="H17" s="89">
        <v>100</v>
      </c>
      <c r="I17" s="90">
        <v>50</v>
      </c>
      <c r="J17" s="91">
        <v>10</v>
      </c>
      <c r="K17" s="90">
        <v>60</v>
      </c>
      <c r="L17" s="90">
        <v>150</v>
      </c>
    </row>
    <row r="18" spans="1:12" x14ac:dyDescent="0.45">
      <c r="A18" s="92" t="s">
        <v>105</v>
      </c>
      <c r="B18" s="92"/>
      <c r="C18" s="92"/>
      <c r="D18" s="92"/>
      <c r="E18" s="92"/>
      <c r="F18" s="92" t="s">
        <v>101</v>
      </c>
      <c r="G18" s="93">
        <f>SUMIFS(G14:G16,F14:F16,F17)</f>
        <v>2000</v>
      </c>
      <c r="H18" s="94">
        <v>5</v>
      </c>
      <c r="I18" s="93">
        <v>25</v>
      </c>
      <c r="J18" s="95">
        <v>0</v>
      </c>
      <c r="K18" s="93">
        <v>25</v>
      </c>
      <c r="L18" s="96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A159F-AF6D-41FD-8CF9-E16049E262F6}">
  <dimension ref="A1:I8"/>
  <sheetViews>
    <sheetView showGridLines="0" workbookViewId="0"/>
  </sheetViews>
  <sheetFormatPr defaultRowHeight="14.25" x14ac:dyDescent="0.45"/>
  <cols>
    <col min="1" max="1" width="4.33203125" bestFit="1" customWidth="1"/>
    <col min="2" max="2" width="19.46484375" bestFit="1" customWidth="1"/>
    <col min="3" max="3" width="11.3984375" bestFit="1" customWidth="1"/>
    <col min="4" max="4" width="8.33203125" bestFit="1" customWidth="1"/>
    <col min="5" max="5" width="9.796875" bestFit="1" customWidth="1"/>
    <col min="6" max="6" width="13.86328125" bestFit="1" customWidth="1"/>
    <col min="7" max="7" width="7.33203125" bestFit="1" customWidth="1"/>
    <col min="8" max="9" width="7.86328125" bestFit="1" customWidth="1"/>
  </cols>
  <sheetData>
    <row r="1" spans="1:9" x14ac:dyDescent="0.45">
      <c r="A1" s="99" t="s">
        <v>55</v>
      </c>
      <c r="B1" s="1" t="s">
        <v>123</v>
      </c>
      <c r="C1" s="1" t="s">
        <v>124</v>
      </c>
      <c r="D1" s="1" t="s">
        <v>125</v>
      </c>
      <c r="E1" s="100" t="s">
        <v>126</v>
      </c>
      <c r="F1" s="1" t="s">
        <v>127</v>
      </c>
      <c r="G1" s="100" t="s">
        <v>17</v>
      </c>
      <c r="H1" s="1" t="s">
        <v>24</v>
      </c>
      <c r="I1" s="1" t="s">
        <v>128</v>
      </c>
    </row>
    <row r="2" spans="1:9" x14ac:dyDescent="0.45">
      <c r="A2" s="101">
        <v>1</v>
      </c>
      <c r="B2" t="s">
        <v>107</v>
      </c>
      <c r="C2" s="102">
        <v>4</v>
      </c>
      <c r="D2" s="103">
        <v>44592</v>
      </c>
      <c r="E2" s="39">
        <v>124000</v>
      </c>
      <c r="F2" s="104">
        <v>50</v>
      </c>
      <c r="G2" s="42" cm="1">
        <f t="array" ref="G2:G6">F2:F6/E2:E6*10^6</f>
        <v>403.22580645161293</v>
      </c>
      <c r="H2" s="105">
        <v>0.05</v>
      </c>
      <c r="I2" s="104" cm="1">
        <f t="array" ref="I2:I5">F2:F5*H2:H5</f>
        <v>2.5</v>
      </c>
    </row>
    <row r="3" spans="1:9" x14ac:dyDescent="0.45">
      <c r="A3" s="101">
        <v>2</v>
      </c>
      <c r="B3" t="s">
        <v>108</v>
      </c>
      <c r="C3" s="102">
        <v>2</v>
      </c>
      <c r="D3" s="103">
        <v>44742</v>
      </c>
      <c r="E3" s="39">
        <v>85000</v>
      </c>
      <c r="F3" s="106">
        <v>50</v>
      </c>
      <c r="G3" s="39">
        <v>588.23529411764696</v>
      </c>
      <c r="H3" s="105">
        <v>0.06</v>
      </c>
      <c r="I3" s="106">
        <v>3</v>
      </c>
    </row>
    <row r="4" spans="1:9" x14ac:dyDescent="0.45">
      <c r="A4" s="101">
        <v>3</v>
      </c>
      <c r="B4" t="s">
        <v>109</v>
      </c>
      <c r="C4" s="102">
        <v>3</v>
      </c>
      <c r="D4" s="103">
        <v>44834</v>
      </c>
      <c r="E4" s="39">
        <v>193663</v>
      </c>
      <c r="F4" s="106">
        <v>50</v>
      </c>
      <c r="G4" s="39">
        <v>258.1804474783516</v>
      </c>
      <c r="H4" s="105">
        <v>0.05</v>
      </c>
      <c r="I4" s="106">
        <v>2.5</v>
      </c>
    </row>
    <row r="5" spans="1:9" x14ac:dyDescent="0.45">
      <c r="A5" s="101">
        <v>4</v>
      </c>
      <c r="B5" t="s">
        <v>110</v>
      </c>
      <c r="C5" s="102">
        <v>5</v>
      </c>
      <c r="D5" s="103">
        <v>44926</v>
      </c>
      <c r="E5" s="39">
        <v>72520</v>
      </c>
      <c r="F5" s="106">
        <v>50</v>
      </c>
      <c r="G5" s="39">
        <v>689.46497517926093</v>
      </c>
      <c r="H5" s="105">
        <v>0.06</v>
      </c>
      <c r="I5" s="106">
        <v>3</v>
      </c>
    </row>
    <row r="6" spans="1:9" x14ac:dyDescent="0.45">
      <c r="A6" s="107"/>
      <c r="B6" s="107" t="s">
        <v>129</v>
      </c>
      <c r="C6" s="107"/>
      <c r="D6" s="107"/>
      <c r="E6" s="108">
        <f>SUM(E2:E5)</f>
        <v>475183</v>
      </c>
      <c r="F6" s="109">
        <f>SUM(F2:F5)</f>
        <v>200</v>
      </c>
      <c r="G6" s="110">
        <v>420.89047798427134</v>
      </c>
      <c r="H6" s="111">
        <v>5.5E-2</v>
      </c>
      <c r="I6" s="109">
        <f>SUM(I2:I5)</f>
        <v>11</v>
      </c>
    </row>
    <row r="8" spans="1:9" x14ac:dyDescent="0.45">
      <c r="A8" s="112"/>
      <c r="B8" s="112" t="s">
        <v>130</v>
      </c>
      <c r="C8" s="113">
        <v>0</v>
      </c>
      <c r="D8" s="114">
        <v>45291</v>
      </c>
      <c r="E8" s="115">
        <v>10000</v>
      </c>
      <c r="F8" s="116">
        <f>trx_summary!I3/10^6</f>
        <v>1</v>
      </c>
      <c r="G8" s="117">
        <f>F8/E8*10^6</f>
        <v>100</v>
      </c>
      <c r="H8" s="118">
        <v>0.06</v>
      </c>
      <c r="I8" s="116">
        <f>trx_summary!J5*trx_summary!J7/10^6</f>
        <v>0.27</v>
      </c>
    </row>
  </sheetData>
  <conditionalFormatting sqref="A2:I6">
    <cfRule type="expression" dxfId="0" priority="1">
      <formula>MOD(ROW(),2)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trx_summary</vt:lpstr>
      <vt:lpstr>acf</vt:lpstr>
      <vt:lpstr>leasing_comps</vt:lpstr>
      <vt:lpstr>sales_comps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Sapp</dc:creator>
  <cp:lastModifiedBy>Edward Sapp</cp:lastModifiedBy>
  <dcterms:created xsi:type="dcterms:W3CDTF">2023-05-31T14:01:04Z</dcterms:created>
  <dcterms:modified xsi:type="dcterms:W3CDTF">2023-05-31T17:25:13Z</dcterms:modified>
</cp:coreProperties>
</file>