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kajonemsensei/Desktop/stadion/"/>
    </mc:Choice>
  </mc:AlternateContent>
  <xr:revisionPtr revIDLastSave="0" documentId="13_ncr:1_{22062904-6ED1-B747-9A47-AB1C45BF0059}" xr6:coauthVersionLast="47" xr6:coauthVersionMax="47" xr10:uidLastSave="{00000000-0000-0000-0000-000000000000}"/>
  <bookViews>
    <workbookView xWindow="-34400" yWindow="-3560" windowWidth="34400" windowHeight="28300" activeTab="1" xr2:uid="{00000000-000D-0000-FFFF-FFFF00000000}"/>
  </bookViews>
  <sheets>
    <sheet name="Wynik klubu" sheetId="2" r:id="rId1"/>
    <sheet name="Wynik operatora" sheetId="6" r:id="rId2"/>
    <sheet name="Budżet Krakow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3" l="1"/>
  <c r="C22" i="2"/>
  <c r="D22" i="2"/>
  <c r="B22" i="2"/>
  <c r="B29" i="2" s="1"/>
  <c r="D4" i="3"/>
  <c r="C36" i="6"/>
  <c r="D36" i="6"/>
  <c r="B36" i="6"/>
  <c r="C29" i="6"/>
  <c r="D29" i="6"/>
  <c r="C28" i="6"/>
  <c r="D28" i="6"/>
  <c r="B28" i="6"/>
  <c r="D5" i="3"/>
  <c r="C7" i="3"/>
  <c r="D7" i="3"/>
  <c r="B7" i="3"/>
  <c r="C50" i="6"/>
  <c r="D50" i="6"/>
  <c r="B50" i="6"/>
  <c r="C26" i="6"/>
  <c r="D26" i="6"/>
  <c r="C27" i="6"/>
  <c r="D27" i="6"/>
  <c r="C30" i="6"/>
  <c r="D30" i="6"/>
  <c r="C32" i="6"/>
  <c r="D32" i="6"/>
  <c r="C33" i="6"/>
  <c r="D33" i="6"/>
  <c r="B27" i="6"/>
  <c r="B30" i="6"/>
  <c r="B33" i="6"/>
  <c r="B32" i="6"/>
  <c r="B29" i="6"/>
  <c r="B26" i="6"/>
  <c r="C16" i="6"/>
  <c r="D16" i="6"/>
  <c r="B16" i="6"/>
  <c r="C27" i="2"/>
  <c r="D27" i="2"/>
  <c r="B27" i="2"/>
  <c r="C28" i="2"/>
  <c r="D28" i="2"/>
  <c r="B28" i="2"/>
  <c r="D24" i="2"/>
  <c r="C24" i="2"/>
  <c r="C23" i="2"/>
  <c r="D23" i="2"/>
  <c r="B23" i="2"/>
  <c r="B37" i="6" l="1"/>
  <c r="B40" i="6" s="1"/>
  <c r="D37" i="6"/>
  <c r="D40" i="6" s="1"/>
  <c r="C37" i="6"/>
  <c r="C40" i="6" s="1"/>
  <c r="D34" i="6"/>
  <c r="C34" i="6"/>
  <c r="B34" i="6"/>
  <c r="B30" i="2"/>
  <c r="D29" i="2"/>
  <c r="D30" i="2" s="1"/>
  <c r="C29" i="2"/>
  <c r="C30" i="2" s="1"/>
  <c r="B25" i="2"/>
  <c r="D25" i="2"/>
  <c r="C25" i="2"/>
  <c r="B42" i="6" l="1"/>
  <c r="B44" i="6" s="1"/>
  <c r="B46" i="6" s="1"/>
  <c r="B48" i="6" s="1"/>
  <c r="B51" i="6" s="1"/>
  <c r="D42" i="6"/>
  <c r="C42" i="6"/>
  <c r="B31" i="2"/>
  <c r="D31" i="2"/>
  <c r="C31" i="2"/>
  <c r="D44" i="6" l="1"/>
  <c r="D46" i="6" s="1"/>
  <c r="C44" i="6"/>
  <c r="C46" i="6" s="1"/>
  <c r="C48" i="6" l="1"/>
  <c r="C51" i="6" s="1"/>
  <c r="D47" i="6"/>
  <c r="D48" i="6" s="1"/>
  <c r="D51" i="6" s="1"/>
</calcChain>
</file>

<file path=xl/sharedStrings.xml><?xml version="1.0" encoding="utf-8"?>
<sst xmlns="http://schemas.openxmlformats.org/spreadsheetml/2006/main" count="132" uniqueCount="108">
  <si>
    <t>Wskaźnik</t>
  </si>
  <si>
    <t>Stary stadion 19k</t>
  </si>
  <si>
    <t>Śr. cena biletu</t>
  </si>
  <si>
    <t>Śr. cena karnetu</t>
  </si>
  <si>
    <t>PIT etaty</t>
  </si>
  <si>
    <t>Podatek od nieruchomości</t>
  </si>
  <si>
    <t>Bilet VIP cena</t>
  </si>
  <si>
    <t>Super VIP cena</t>
  </si>
  <si>
    <t>Liczba karnetów</t>
  </si>
  <si>
    <t>Liczba super VIP</t>
  </si>
  <si>
    <t>Liczba VIP</t>
  </si>
  <si>
    <t>Frekwencja</t>
  </si>
  <si>
    <t>Liczba Skybox</t>
  </si>
  <si>
    <t>Cena Skybox</t>
  </si>
  <si>
    <t>Mnożnik Skybox</t>
  </si>
  <si>
    <t>Czynsz</t>
  </si>
  <si>
    <t>Liczba meczów</t>
  </si>
  <si>
    <t>Wisła 1 liga 25k</t>
  </si>
  <si>
    <t>Wisła ESA 30k</t>
  </si>
  <si>
    <t>Liczba Eventów</t>
  </si>
  <si>
    <t>Sponsor tytularny</t>
  </si>
  <si>
    <t>Czynsz Wisła</t>
  </si>
  <si>
    <t>Frekwencja Event</t>
  </si>
  <si>
    <t>EBIDTA</t>
  </si>
  <si>
    <t>Odsetki</t>
  </si>
  <si>
    <t>Kapitał</t>
  </si>
  <si>
    <t>Dopłata miasto</t>
  </si>
  <si>
    <t xml:space="preserve">Nowy 25k I liga </t>
  </si>
  <si>
    <t xml:space="preserve">Nowy 30k ESA </t>
  </si>
  <si>
    <t>KOSZTY</t>
  </si>
  <si>
    <t>PRZYCHODY</t>
  </si>
  <si>
    <t>ZYSK</t>
  </si>
  <si>
    <t>Wartość obiektu</t>
  </si>
  <si>
    <t>Obsługa wydarzeń</t>
  </si>
  <si>
    <t>Liczba dużych eventów</t>
  </si>
  <si>
    <t>Frekwencja duży event</t>
  </si>
  <si>
    <t>Event Zysk</t>
  </si>
  <si>
    <t>F&amp;B marża operatora</t>
  </si>
  <si>
    <t>Wydatek duży event</t>
  </si>
  <si>
    <t>Wydatek event</t>
  </si>
  <si>
    <t>Cena Business Club</t>
  </si>
  <si>
    <t>Mnożnik Business Club</t>
  </si>
  <si>
    <t>Liczba biletów</t>
  </si>
  <si>
    <t>Liczba Business Club</t>
  </si>
  <si>
    <t>Duży event zysk</t>
  </si>
  <si>
    <t>Liczba odwiedzin Wisła</t>
  </si>
  <si>
    <t>Duży event</t>
  </si>
  <si>
    <t>Event</t>
  </si>
  <si>
    <t>Skybox</t>
  </si>
  <si>
    <t>Business Club</t>
  </si>
  <si>
    <t>F&amp;B</t>
  </si>
  <si>
    <t>Wydatek mecz</t>
  </si>
  <si>
    <t>Obsługa VIP</t>
  </si>
  <si>
    <t>SUMA kosztów</t>
  </si>
  <si>
    <t>Podział Skybox</t>
  </si>
  <si>
    <t>Podział Business Club</t>
  </si>
  <si>
    <t>Amortyzacja</t>
  </si>
  <si>
    <t>EBIT</t>
  </si>
  <si>
    <t>CIT 19%</t>
  </si>
  <si>
    <t>EBT</t>
  </si>
  <si>
    <t>Zysk Netto</t>
  </si>
  <si>
    <t>+ Amortyzacja (non-cash)</t>
  </si>
  <si>
    <t>Stary stadion</t>
  </si>
  <si>
    <t>Dopłata dla operatora</t>
  </si>
  <si>
    <t>Wynik miasta</t>
  </si>
  <si>
    <t>CIT miasto</t>
  </si>
  <si>
    <t>Promocje</t>
  </si>
  <si>
    <t>Koszt zmienny</t>
  </si>
  <si>
    <t xml:space="preserve">Koszt promocji </t>
  </si>
  <si>
    <t>Oprocentowanie długu</t>
  </si>
  <si>
    <t xml:space="preserve">Bez kredytu i dopłat </t>
  </si>
  <si>
    <t>Utrzymanie stadionu</t>
  </si>
  <si>
    <t>Stadion lata 0-10</t>
  </si>
  <si>
    <t>Stadion lata 10-30</t>
  </si>
  <si>
    <t>Bilety</t>
  </si>
  <si>
    <t>SUMA</t>
  </si>
  <si>
    <t xml:space="preserve">Koszt zmienny </t>
  </si>
  <si>
    <t xml:space="preserve">SUMA </t>
  </si>
  <si>
    <t xml:space="preserve">Koszt stały </t>
  </si>
  <si>
    <t>Gotówka</t>
  </si>
  <si>
    <t>Komentarz</t>
  </si>
  <si>
    <t>Frekwencja z sezonu 24/25 oraz predykcje na podstawie wzrostu frekwnecji na nowych stadionach w Polsce</t>
  </si>
  <si>
    <t>Średnia liczba meczów w sezonie</t>
  </si>
  <si>
    <t>Cena biletów na podstawie cennika 25/26 Wisły Kraków oraz predykcje wzrostu na podstawie zmiany cenników na nowych obiektach w Polsce</t>
  </si>
  <si>
    <t>j.w.</t>
  </si>
  <si>
    <t xml:space="preserve">Średnia liczba sprzedanych biletów </t>
  </si>
  <si>
    <t>Liczba sprzedanych biletów</t>
  </si>
  <si>
    <t>jw.</t>
  </si>
  <si>
    <t>Cena skybox na podstawie cennika Wisły</t>
  </si>
  <si>
    <t>Obecnie 100% Wisła - na nowym obiekcie proponowany podział, gdzie koszty utrzymania i większość zysku zatrzymuje operator</t>
  </si>
  <si>
    <t xml:space="preserve">Obecnie brak, na nowym stadionie na podstawie innych aren </t>
  </si>
  <si>
    <t>Business Club mocniej związany z klubem - większy procent udziału idzie do klubu</t>
  </si>
  <si>
    <t>Koszt promocji - część biletów jest darmowa, przekazywana np. domom dziecka czy szkołom. Na nowym stadionie zapotrzebownie jest większe = mniej promocji</t>
  </si>
  <si>
    <t>Koszt zmienny na jednego widza na podstawie wyliczeń kosztu meczu Wisla - Widzew. Nowy stadion to większa energooszczędność</t>
  </si>
  <si>
    <t>Minimalna wartość obiektu - koszt realny może być wyższy</t>
  </si>
  <si>
    <t>Założenie frekwnecji na koncercie największych gwiazd</t>
  </si>
  <si>
    <t>Zysk na podstawie innych aren polskich i europejskich</t>
  </si>
  <si>
    <t>Eventy branżowe, konferencje, pokazy</t>
  </si>
  <si>
    <t>Na podstawie umów PGE Narodowy, Tarczyński Arena i innych obiektów</t>
  </si>
  <si>
    <t>Założenie czynszu za mecz Wisły</t>
  </si>
  <si>
    <t xml:space="preserve">Założona marża na cateringu na podstawie </t>
  </si>
  <si>
    <t>19% zysku operatora</t>
  </si>
  <si>
    <t>Dotacja od miasta dla operatora</t>
  </si>
  <si>
    <t>1500 nowych etatów razy średnie wynagrodzenie dla personelu na podstawie GUS = masa płac</t>
  </si>
  <si>
    <t>średni wydatek kibica na meczu</t>
  </si>
  <si>
    <t>Średni wydatek klienta na dużym evencie</t>
  </si>
  <si>
    <t>Średni wydatek klienta na evencie</t>
  </si>
  <si>
    <t>2% wartości nieruchomości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</si>
</sst>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2"/>
      <name val="Calibri (Body)"/>
    </font>
    <font>
      <sz val="12"/>
      <color theme="1"/>
      <name val="Calibri (Body)"/>
    </font>
    <font>
      <b/>
      <sz val="12"/>
      <color theme="1"/>
      <name val="Calibri (Body)"/>
    </font>
    <font>
      <sz val="12"/>
      <color rgb="FF00B050"/>
      <name val="Calibri (Body)"/>
    </font>
    <font>
      <sz val="12"/>
      <color rgb="FFFF0000"/>
      <name val="Calibri (Body)"/>
    </font>
    <font>
      <b/>
      <sz val="12"/>
      <color theme="0"/>
      <name val="Calibri (Body)"/>
    </font>
    <font>
      <sz val="12"/>
      <name val="Calibri (Body)"/>
    </font>
    <font>
      <sz val="12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FF0000"/>
      <name val="Calibri (Body)"/>
    </font>
    <font>
      <b/>
      <sz val="12"/>
      <color rgb="FF00B050"/>
      <name val="Calibri (Body)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4" fontId="1" fillId="0" borderId="0" xfId="0" applyNumberFormat="1" applyFont="1"/>
    <xf numFmtId="4" fontId="2" fillId="0" borderId="0" xfId="0" applyNumberFormat="1" applyFont="1"/>
    <xf numFmtId="4" fontId="2" fillId="2" borderId="0" xfId="0" applyNumberFormat="1" applyFont="1" applyFill="1"/>
    <xf numFmtId="0" fontId="2" fillId="0" borderId="0" xfId="0" applyFont="1"/>
    <xf numFmtId="0" fontId="0" fillId="0" borderId="0" xfId="0" applyAlignment="1">
      <alignment wrapText="1"/>
    </xf>
    <xf numFmtId="49" fontId="0" fillId="0" borderId="0" xfId="0" applyNumberFormat="1"/>
    <xf numFmtId="4" fontId="1" fillId="0" borderId="0" xfId="0" applyNumberFormat="1" applyFont="1" applyAlignment="1">
      <alignment horizontal="center"/>
    </xf>
    <xf numFmtId="4" fontId="2" fillId="2" borderId="0" xfId="0" applyNumberFormat="1" applyFont="1" applyFill="1" applyAlignment="1">
      <alignment horizontal="center"/>
    </xf>
    <xf numFmtId="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top"/>
    </xf>
    <xf numFmtId="3" fontId="9" fillId="0" borderId="0" xfId="0" applyNumberFormat="1" applyFont="1" applyAlignment="1">
      <alignment horizontal="center" vertical="top"/>
    </xf>
    <xf numFmtId="3" fontId="4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9" fontId="4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center"/>
    </xf>
    <xf numFmtId="3" fontId="3" fillId="0" borderId="6" xfId="0" applyNumberFormat="1" applyFont="1" applyBorder="1" applyAlignment="1">
      <alignment horizontal="center" vertical="top"/>
    </xf>
    <xf numFmtId="3" fontId="3" fillId="0" borderId="11" xfId="0" applyNumberFormat="1" applyFont="1" applyBorder="1" applyAlignment="1">
      <alignment horizontal="center" vertical="top"/>
    </xf>
    <xf numFmtId="3" fontId="9" fillId="5" borderId="6" xfId="0" applyNumberFormat="1" applyFont="1" applyFill="1" applyBorder="1" applyAlignment="1">
      <alignment horizontal="center" vertical="top"/>
    </xf>
    <xf numFmtId="3" fontId="9" fillId="5" borderId="3" xfId="0" applyNumberFormat="1" applyFont="1" applyFill="1" applyBorder="1" applyAlignment="1">
      <alignment horizontal="center" vertical="top"/>
    </xf>
    <xf numFmtId="3" fontId="9" fillId="5" borderId="7" xfId="0" applyNumberFormat="1" applyFont="1" applyFill="1" applyBorder="1" applyAlignment="1">
      <alignment horizontal="center" vertical="top"/>
    </xf>
    <xf numFmtId="3" fontId="9" fillId="0" borderId="8" xfId="0" applyNumberFormat="1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center" vertical="top"/>
    </xf>
    <xf numFmtId="3" fontId="4" fillId="0" borderId="8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5" borderId="8" xfId="0" applyNumberFormat="1" applyFont="1" applyFill="1" applyBorder="1" applyAlignment="1">
      <alignment horizontal="center"/>
    </xf>
    <xf numFmtId="3" fontId="4" fillId="5" borderId="0" xfId="0" applyNumberFormat="1" applyFont="1" applyFill="1" applyAlignment="1">
      <alignment horizontal="center"/>
    </xf>
    <xf numFmtId="3" fontId="4" fillId="5" borderId="1" xfId="0" applyNumberFormat="1" applyFont="1" applyFill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9" fontId="4" fillId="5" borderId="8" xfId="0" applyNumberFormat="1" applyFont="1" applyFill="1" applyBorder="1" applyAlignment="1">
      <alignment horizontal="center"/>
    </xf>
    <xf numFmtId="9" fontId="4" fillId="5" borderId="0" xfId="0" applyNumberFormat="1" applyFont="1" applyFill="1" applyAlignment="1">
      <alignment horizontal="center"/>
    </xf>
    <xf numFmtId="9" fontId="4" fillId="5" borderId="1" xfId="0" applyNumberFormat="1" applyFont="1" applyFill="1" applyBorder="1" applyAlignment="1">
      <alignment horizontal="center"/>
    </xf>
    <xf numFmtId="9" fontId="4" fillId="0" borderId="8" xfId="0" applyNumberFormat="1" applyFont="1" applyBorder="1" applyAlignment="1">
      <alignment horizontal="center"/>
    </xf>
    <xf numFmtId="3" fontId="10" fillId="0" borderId="8" xfId="0" applyNumberFormat="1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3" fontId="10" fillId="5" borderId="8" xfId="0" applyNumberFormat="1" applyFont="1" applyFill="1" applyBorder="1" applyAlignment="1">
      <alignment horizontal="center"/>
    </xf>
    <xf numFmtId="3" fontId="10" fillId="5" borderId="0" xfId="0" applyNumberFormat="1" applyFont="1" applyFill="1" applyAlignment="1">
      <alignment horizontal="center"/>
    </xf>
    <xf numFmtId="3" fontId="10" fillId="5" borderId="1" xfId="0" applyNumberFormat="1" applyFont="1" applyFill="1" applyBorder="1" applyAlignment="1">
      <alignment horizontal="center"/>
    </xf>
    <xf numFmtId="3" fontId="11" fillId="5" borderId="8" xfId="0" applyNumberFormat="1" applyFont="1" applyFill="1" applyBorder="1" applyAlignment="1">
      <alignment horizontal="center"/>
    </xf>
    <xf numFmtId="3" fontId="11" fillId="5" borderId="0" xfId="0" applyNumberFormat="1" applyFont="1" applyFill="1" applyAlignment="1">
      <alignment horizontal="center"/>
    </xf>
    <xf numFmtId="3" fontId="11" fillId="5" borderId="1" xfId="0" applyNumberFormat="1" applyFont="1" applyFill="1" applyBorder="1" applyAlignment="1">
      <alignment horizontal="center"/>
    </xf>
    <xf numFmtId="3" fontId="7" fillId="5" borderId="8" xfId="0" applyNumberFormat="1" applyFont="1" applyFill="1" applyBorder="1" applyAlignment="1">
      <alignment horizontal="center"/>
    </xf>
    <xf numFmtId="3" fontId="7" fillId="5" borderId="0" xfId="0" applyNumberFormat="1" applyFont="1" applyFill="1" applyAlignment="1">
      <alignment horizontal="center"/>
    </xf>
    <xf numFmtId="3" fontId="7" fillId="5" borderId="1" xfId="0" applyNumberFormat="1" applyFont="1" applyFill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12" fillId="0" borderId="8" xfId="0" applyNumberFormat="1" applyFont="1" applyBorder="1" applyAlignment="1">
      <alignment horizontal="center"/>
    </xf>
    <xf numFmtId="3" fontId="12" fillId="0" borderId="1" xfId="0" applyNumberFormat="1" applyFont="1" applyBorder="1" applyAlignment="1">
      <alignment horizontal="center"/>
    </xf>
    <xf numFmtId="3" fontId="8" fillId="3" borderId="5" xfId="0" applyNumberFormat="1" applyFont="1" applyFill="1" applyBorder="1" applyAlignment="1">
      <alignment horizontal="center"/>
    </xf>
    <xf numFmtId="3" fontId="8" fillId="3" borderId="9" xfId="0" applyNumberFormat="1" applyFont="1" applyFill="1" applyBorder="1" applyAlignment="1">
      <alignment horizontal="center"/>
    </xf>
    <xf numFmtId="3" fontId="8" fillId="3" borderId="4" xfId="0" applyNumberFormat="1" applyFont="1" applyFill="1" applyBorder="1" applyAlignment="1">
      <alignment horizontal="center"/>
    </xf>
    <xf numFmtId="3" fontId="9" fillId="5" borderId="10" xfId="0" applyNumberFormat="1" applyFont="1" applyFill="1" applyBorder="1" applyAlignment="1">
      <alignment horizontal="center" vertical="top"/>
    </xf>
    <xf numFmtId="1" fontId="9" fillId="5" borderId="12" xfId="0" applyNumberFormat="1" applyFont="1" applyFill="1" applyBorder="1" applyAlignment="1">
      <alignment horizontal="center" vertical="top"/>
    </xf>
    <xf numFmtId="1" fontId="9" fillId="0" borderId="8" xfId="0" applyNumberFormat="1" applyFont="1" applyBorder="1" applyAlignment="1">
      <alignment horizontal="center" vertical="top"/>
    </xf>
    <xf numFmtId="1" fontId="9" fillId="5" borderId="8" xfId="0" applyNumberFormat="1" applyFont="1" applyFill="1" applyBorder="1" applyAlignment="1">
      <alignment horizontal="center" vertical="top"/>
    </xf>
    <xf numFmtId="3" fontId="9" fillId="5" borderId="0" xfId="0" applyNumberFormat="1" applyFont="1" applyFill="1" applyAlignment="1">
      <alignment horizontal="center" vertical="top"/>
    </xf>
    <xf numFmtId="1" fontId="4" fillId="5" borderId="8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1" fontId="6" fillId="0" borderId="8" xfId="0" applyNumberFormat="1" applyFont="1" applyBorder="1" applyAlignment="1">
      <alignment horizontal="center"/>
    </xf>
    <xf numFmtId="1" fontId="6" fillId="5" borderId="8" xfId="0" applyNumberFormat="1" applyFont="1" applyFill="1" applyBorder="1" applyAlignment="1">
      <alignment horizontal="center"/>
    </xf>
    <xf numFmtId="3" fontId="6" fillId="5" borderId="0" xfId="0" applyNumberFormat="1" applyFont="1" applyFill="1" applyAlignment="1">
      <alignment horizontal="center"/>
    </xf>
    <xf numFmtId="1" fontId="13" fillId="0" borderId="8" xfId="0" applyNumberFormat="1" applyFont="1" applyBorder="1" applyAlignment="1">
      <alignment horizontal="center"/>
    </xf>
    <xf numFmtId="3" fontId="13" fillId="0" borderId="0" xfId="0" applyNumberFormat="1" applyFont="1" applyAlignment="1">
      <alignment horizontal="center"/>
    </xf>
    <xf numFmtId="1" fontId="7" fillId="0" borderId="8" xfId="0" applyNumberFormat="1" applyFont="1" applyBorder="1" applyAlignment="1">
      <alignment horizontal="center"/>
    </xf>
    <xf numFmtId="1" fontId="7" fillId="5" borderId="8" xfId="0" applyNumberFormat="1" applyFont="1" applyFill="1" applyBorder="1" applyAlignment="1">
      <alignment horizontal="center"/>
    </xf>
    <xf numFmtId="1" fontId="3" fillId="0" borderId="6" xfId="0" applyNumberFormat="1" applyFont="1" applyBorder="1" applyAlignment="1">
      <alignment horizontal="center" vertical="top"/>
    </xf>
    <xf numFmtId="1" fontId="3" fillId="0" borderId="3" xfId="0" applyNumberFormat="1" applyFont="1" applyBorder="1" applyAlignment="1">
      <alignment horizontal="center" vertical="top"/>
    </xf>
    <xf numFmtId="1" fontId="3" fillId="0" borderId="7" xfId="0" applyNumberFormat="1" applyFont="1" applyBorder="1" applyAlignment="1">
      <alignment horizontal="center" vertical="top"/>
    </xf>
    <xf numFmtId="3" fontId="9" fillId="5" borderId="13" xfId="0" applyNumberFormat="1" applyFont="1" applyFill="1" applyBorder="1" applyAlignment="1">
      <alignment horizontal="center" vertical="top"/>
    </xf>
    <xf numFmtId="3" fontId="9" fillId="5" borderId="1" xfId="0" applyNumberFormat="1" applyFont="1" applyFill="1" applyBorder="1" applyAlignment="1">
      <alignment horizontal="center" vertical="top"/>
    </xf>
    <xf numFmtId="3" fontId="6" fillId="0" borderId="1" xfId="0" applyNumberFormat="1" applyFont="1" applyBorder="1" applyAlignment="1">
      <alignment horizontal="center"/>
    </xf>
    <xf numFmtId="3" fontId="6" fillId="5" borderId="1" xfId="0" applyNumberFormat="1" applyFont="1" applyFill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1" fontId="8" fillId="3" borderId="5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4" fontId="8" fillId="4" borderId="0" xfId="0" applyNumberFormat="1" applyFont="1" applyFill="1" applyAlignment="1">
      <alignment horizontal="center"/>
    </xf>
    <xf numFmtId="4" fontId="8" fillId="3" borderId="0" xfId="0" applyNumberFormat="1" applyFont="1" applyFill="1" applyAlignment="1">
      <alignment horizontal="center"/>
    </xf>
    <xf numFmtId="3" fontId="5" fillId="5" borderId="8" xfId="0" applyNumberFormat="1" applyFont="1" applyFill="1" applyBorder="1" applyAlignment="1">
      <alignment horizontal="center"/>
    </xf>
    <xf numFmtId="3" fontId="5" fillId="5" borderId="0" xfId="0" applyNumberFormat="1" applyFont="1" applyFill="1" applyAlignment="1">
      <alignment horizontal="center"/>
    </xf>
    <xf numFmtId="3" fontId="5" fillId="5" borderId="1" xfId="0" applyNumberFormat="1" applyFont="1" applyFill="1" applyBorder="1" applyAlignment="1">
      <alignment horizontal="center"/>
    </xf>
    <xf numFmtId="3" fontId="5" fillId="0" borderId="8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5" fillId="0" borderId="1" xfId="0" applyNumberFormat="1" applyFont="1" applyBorder="1" applyAlignment="1">
      <alignment horizontal="center"/>
    </xf>
    <xf numFmtId="1" fontId="5" fillId="5" borderId="8" xfId="0" applyNumberFormat="1" applyFont="1" applyFill="1" applyBorder="1" applyAlignment="1">
      <alignment horizontal="center"/>
    </xf>
    <xf numFmtId="1" fontId="5" fillId="5" borderId="0" xfId="0" applyNumberFormat="1" applyFont="1" applyFill="1" applyAlignment="1">
      <alignment horizontal="center"/>
    </xf>
    <xf numFmtId="1" fontId="5" fillId="5" borderId="1" xfId="0" applyNumberFormat="1" applyFont="1" applyFill="1" applyBorder="1" applyAlignment="1">
      <alignment horizontal="center"/>
    </xf>
    <xf numFmtId="1" fontId="3" fillId="5" borderId="8" xfId="0" applyNumberFormat="1" applyFont="1" applyFill="1" applyBorder="1" applyAlignment="1">
      <alignment horizontal="center"/>
    </xf>
    <xf numFmtId="1" fontId="3" fillId="5" borderId="0" xfId="0" applyNumberFormat="1" applyFont="1" applyFill="1" applyAlignment="1">
      <alignment horizontal="center"/>
    </xf>
    <xf numFmtId="1" fontId="3" fillId="5" borderId="1" xfId="0" applyNumberFormat="1" applyFont="1" applyFill="1" applyBorder="1" applyAlignment="1">
      <alignment horizontal="center"/>
    </xf>
    <xf numFmtId="3" fontId="3" fillId="0" borderId="14" xfId="0" applyNumberFormat="1" applyFont="1" applyFill="1" applyBorder="1" applyAlignment="1">
      <alignment horizontal="center" vertical="top"/>
    </xf>
    <xf numFmtId="1" fontId="3" fillId="0" borderId="0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(Body)"/>
        <scheme val="none"/>
      </font>
      <numFmt numFmtId="4" formatCode="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(Body)"/>
        <scheme val="none"/>
      </font>
      <numFmt numFmtId="4" formatCode="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(Body)"/>
        <scheme val="none"/>
      </font>
      <numFmt numFmtId="4" formatCode="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(Body)"/>
        <scheme val="none"/>
      </font>
      <numFmt numFmtId="4" formatCode="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(Body)"/>
        <scheme val="none"/>
      </font>
      <alignment horizontal="center" vertical="bottom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(Body)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(Body)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067C654-B8F9-214B-B47A-8AAB8A92D205}" name="Table3" displayName="Table3" ref="A1:E7" totalsRowShown="0" headerRowDxfId="8" dataDxfId="6" headerRowBorderDxfId="7" tableBorderDxfId="5">
  <autoFilter ref="A1:E7" xr:uid="{6067C654-B8F9-214B-B47A-8AAB8A92D205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B3E9A41-761A-BB45-9786-58DEEB197EC4}" name="Wskaźnik" dataDxfId="4"/>
    <tableColumn id="2" xr3:uid="{050A44FF-92F9-584A-82CA-F7E579EF4F4E}" name="Stary stadion" dataDxfId="3"/>
    <tableColumn id="3" xr3:uid="{B2A57A78-1083-DA40-9F77-1236EB740B3C}" name="Stadion lata 0-10" dataDxfId="2"/>
    <tableColumn id="4" xr3:uid="{67C83F63-E4BF-E14C-AE51-694DD631B5AA}" name="Stadion lata 10-30" dataDxfId="1"/>
    <tableColumn id="5" xr3:uid="{0CCAC80F-1226-A143-BE17-153B62ED5F31}" name="Komentarz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8"/>
  <sheetViews>
    <sheetView workbookViewId="0">
      <selection activeCell="E24" sqref="E24"/>
    </sheetView>
  </sheetViews>
  <sheetFormatPr baseColWidth="10" defaultColWidth="8.83203125" defaultRowHeight="15" x14ac:dyDescent="0.2"/>
  <cols>
    <col min="1" max="1" width="19.5" style="10" customWidth="1"/>
    <col min="2" max="2" width="15.1640625" customWidth="1"/>
    <col min="3" max="3" width="14.6640625" customWidth="1"/>
    <col min="4" max="4" width="14" customWidth="1"/>
    <col min="5" max="5" width="120.33203125" customWidth="1"/>
  </cols>
  <sheetData>
    <row r="1" spans="1:5" ht="16" x14ac:dyDescent="0.2">
      <c r="A1" s="20" t="s">
        <v>0</v>
      </c>
      <c r="B1" s="20" t="s">
        <v>1</v>
      </c>
      <c r="C1" s="20" t="s">
        <v>27</v>
      </c>
      <c r="D1" s="21" t="s">
        <v>28</v>
      </c>
      <c r="E1" s="95" t="s">
        <v>80</v>
      </c>
    </row>
    <row r="2" spans="1:5" ht="16" x14ac:dyDescent="0.2">
      <c r="A2" s="22" t="s">
        <v>11</v>
      </c>
      <c r="B2" s="23">
        <v>19000</v>
      </c>
      <c r="C2" s="23">
        <v>25000</v>
      </c>
      <c r="D2" s="24">
        <v>30000</v>
      </c>
      <c r="E2" t="s">
        <v>81</v>
      </c>
    </row>
    <row r="3" spans="1:5" ht="16" x14ac:dyDescent="0.2">
      <c r="A3" s="25" t="s">
        <v>16</v>
      </c>
      <c r="B3" s="12">
        <v>20</v>
      </c>
      <c r="C3" s="12">
        <v>20</v>
      </c>
      <c r="D3" s="26">
        <v>20</v>
      </c>
      <c r="E3" t="s">
        <v>82</v>
      </c>
    </row>
    <row r="4" spans="1:5" ht="16" x14ac:dyDescent="0.2">
      <c r="A4" s="27" t="s">
        <v>2</v>
      </c>
      <c r="B4" s="13">
        <v>45</v>
      </c>
      <c r="C4" s="13">
        <v>59</v>
      </c>
      <c r="D4" s="28">
        <v>64</v>
      </c>
      <c r="E4" t="s">
        <v>83</v>
      </c>
    </row>
    <row r="5" spans="1:5" ht="16" x14ac:dyDescent="0.2">
      <c r="A5" s="29" t="s">
        <v>3</v>
      </c>
      <c r="B5" s="30">
        <v>26</v>
      </c>
      <c r="C5" s="30">
        <v>32</v>
      </c>
      <c r="D5" s="31">
        <v>37</v>
      </c>
      <c r="E5" t="s">
        <v>84</v>
      </c>
    </row>
    <row r="6" spans="1:5" ht="16" x14ac:dyDescent="0.2">
      <c r="A6" s="27" t="s">
        <v>6</v>
      </c>
      <c r="B6" s="13">
        <v>260</v>
      </c>
      <c r="C6" s="13">
        <v>300</v>
      </c>
      <c r="D6" s="28">
        <v>300</v>
      </c>
      <c r="E6" t="s">
        <v>84</v>
      </c>
    </row>
    <row r="7" spans="1:5" ht="16" x14ac:dyDescent="0.2">
      <c r="A7" s="29" t="s">
        <v>7</v>
      </c>
      <c r="B7" s="30">
        <v>420</v>
      </c>
      <c r="C7" s="30">
        <v>0</v>
      </c>
      <c r="D7" s="31">
        <v>0</v>
      </c>
      <c r="E7" t="s">
        <v>84</v>
      </c>
    </row>
    <row r="8" spans="1:5" ht="16" x14ac:dyDescent="0.2">
      <c r="A8" s="27" t="s">
        <v>42</v>
      </c>
      <c r="B8" s="13">
        <v>13000</v>
      </c>
      <c r="C8" s="13">
        <v>16200</v>
      </c>
      <c r="D8" s="28">
        <v>19000</v>
      </c>
      <c r="E8" t="s">
        <v>85</v>
      </c>
    </row>
    <row r="9" spans="1:5" ht="16" x14ac:dyDescent="0.2">
      <c r="A9" s="29" t="s">
        <v>8</v>
      </c>
      <c r="B9" s="30">
        <v>5000</v>
      </c>
      <c r="C9" s="30">
        <v>8000</v>
      </c>
      <c r="D9" s="31">
        <v>10000</v>
      </c>
      <c r="E9" t="s">
        <v>86</v>
      </c>
    </row>
    <row r="10" spans="1:5" ht="16" x14ac:dyDescent="0.2">
      <c r="A10" s="27" t="s">
        <v>10</v>
      </c>
      <c r="B10" s="13">
        <v>800</v>
      </c>
      <c r="C10" s="13">
        <v>800</v>
      </c>
      <c r="D10" s="28">
        <v>1000</v>
      </c>
      <c r="E10" t="s">
        <v>87</v>
      </c>
    </row>
    <row r="11" spans="1:5" ht="16" x14ac:dyDescent="0.2">
      <c r="A11" s="29" t="s">
        <v>9</v>
      </c>
      <c r="B11" s="30">
        <v>200</v>
      </c>
      <c r="C11" s="30">
        <v>0</v>
      </c>
      <c r="D11" s="31">
        <v>0</v>
      </c>
      <c r="E11" t="s">
        <v>87</v>
      </c>
    </row>
    <row r="12" spans="1:5" ht="16" x14ac:dyDescent="0.2">
      <c r="A12" s="27" t="s">
        <v>12</v>
      </c>
      <c r="B12" s="13">
        <v>16</v>
      </c>
      <c r="C12" s="13">
        <v>32</v>
      </c>
      <c r="D12" s="28">
        <v>38</v>
      </c>
      <c r="E12" t="s">
        <v>87</v>
      </c>
    </row>
    <row r="13" spans="1:5" ht="16" x14ac:dyDescent="0.2">
      <c r="A13" s="29" t="s">
        <v>13</v>
      </c>
      <c r="B13" s="30">
        <v>150000</v>
      </c>
      <c r="C13" s="30">
        <v>350000</v>
      </c>
      <c r="D13" s="31">
        <v>400000</v>
      </c>
      <c r="E13" t="s">
        <v>88</v>
      </c>
    </row>
    <row r="14" spans="1:5" ht="16" x14ac:dyDescent="0.2">
      <c r="A14" s="27" t="s">
        <v>54</v>
      </c>
      <c r="B14" s="17">
        <v>1</v>
      </c>
      <c r="C14" s="17">
        <v>0.3</v>
      </c>
      <c r="D14" s="32">
        <v>0.3</v>
      </c>
      <c r="E14" t="s">
        <v>89</v>
      </c>
    </row>
    <row r="15" spans="1:5" ht="16" x14ac:dyDescent="0.2">
      <c r="A15" s="29" t="s">
        <v>43</v>
      </c>
      <c r="B15" s="30">
        <v>0</v>
      </c>
      <c r="C15" s="30">
        <v>1300</v>
      </c>
      <c r="D15" s="31">
        <v>1600</v>
      </c>
      <c r="E15" t="s">
        <v>90</v>
      </c>
    </row>
    <row r="16" spans="1:5" ht="16" x14ac:dyDescent="0.2">
      <c r="A16" s="27" t="s">
        <v>40</v>
      </c>
      <c r="B16" s="13">
        <v>0</v>
      </c>
      <c r="C16" s="13">
        <v>20000</v>
      </c>
      <c r="D16" s="28">
        <v>20000</v>
      </c>
    </row>
    <row r="17" spans="1:5" ht="16" x14ac:dyDescent="0.2">
      <c r="A17" s="33" t="s">
        <v>55</v>
      </c>
      <c r="B17" s="34">
        <v>0</v>
      </c>
      <c r="C17" s="34">
        <v>0.6</v>
      </c>
      <c r="D17" s="35">
        <v>0.6</v>
      </c>
      <c r="E17" t="s">
        <v>91</v>
      </c>
    </row>
    <row r="18" spans="1:5" ht="16" x14ac:dyDescent="0.2">
      <c r="A18" s="36" t="s">
        <v>66</v>
      </c>
      <c r="B18" s="17">
        <v>0.8</v>
      </c>
      <c r="C18" s="17">
        <v>0.9</v>
      </c>
      <c r="D18" s="32">
        <v>0.9</v>
      </c>
      <c r="E18" t="s">
        <v>92</v>
      </c>
    </row>
    <row r="19" spans="1:5" ht="16" x14ac:dyDescent="0.2">
      <c r="A19" s="29" t="s">
        <v>67</v>
      </c>
      <c r="B19" s="30">
        <v>11</v>
      </c>
      <c r="C19" s="30">
        <v>10</v>
      </c>
      <c r="D19" s="31">
        <v>10</v>
      </c>
      <c r="E19" t="s">
        <v>93</v>
      </c>
    </row>
    <row r="20" spans="1:5" ht="16" x14ac:dyDescent="0.2">
      <c r="A20" s="27" t="s">
        <v>15</v>
      </c>
      <c r="B20" s="13">
        <v>200000</v>
      </c>
      <c r="C20" s="13">
        <v>600000</v>
      </c>
      <c r="D20" s="28">
        <v>800000</v>
      </c>
    </row>
    <row r="21" spans="1:5" ht="16" x14ac:dyDescent="0.2">
      <c r="A21" s="83" t="s">
        <v>30</v>
      </c>
      <c r="B21" s="84"/>
      <c r="C21" s="84"/>
      <c r="D21" s="85"/>
    </row>
    <row r="22" spans="1:5" ht="16" x14ac:dyDescent="0.2">
      <c r="A22" s="37" t="s">
        <v>74</v>
      </c>
      <c r="B22" s="18">
        <f>(B4*B8+B5*B9+B6*B10+B7*B11)*B3</f>
        <v>20140000</v>
      </c>
      <c r="C22" s="18">
        <f>(C4*C8+C5*C9+C6*C10+C7*C11)*C3</f>
        <v>29036000</v>
      </c>
      <c r="D22" s="38">
        <f>(D4*D8+D5*D9+D6*D10+D7*D11)*D3</f>
        <v>37720000</v>
      </c>
    </row>
    <row r="23" spans="1:5" ht="16" x14ac:dyDescent="0.2">
      <c r="A23" s="39" t="s">
        <v>48</v>
      </c>
      <c r="B23" s="40">
        <f>B12*B13*B14</f>
        <v>2400000</v>
      </c>
      <c r="C23" s="40">
        <f>C12*C13*C14</f>
        <v>3360000</v>
      </c>
      <c r="D23" s="41">
        <f>D12*D13*D14</f>
        <v>4560000</v>
      </c>
    </row>
    <row r="24" spans="1:5" ht="16" x14ac:dyDescent="0.2">
      <c r="A24" s="37" t="s">
        <v>49</v>
      </c>
      <c r="B24" s="18">
        <v>0</v>
      </c>
      <c r="C24" s="18">
        <f>C15*C16*C17</f>
        <v>15600000</v>
      </c>
      <c r="D24" s="38">
        <f>D15*D16*D17</f>
        <v>19200000</v>
      </c>
    </row>
    <row r="25" spans="1:5" ht="16" x14ac:dyDescent="0.2">
      <c r="A25" s="42" t="s">
        <v>75</v>
      </c>
      <c r="B25" s="43">
        <f>SUM(B22:B24)</f>
        <v>22540000</v>
      </c>
      <c r="C25" s="43">
        <f>SUM(C22:C24)</f>
        <v>47996000</v>
      </c>
      <c r="D25" s="44">
        <f>SUM(D22:D24)</f>
        <v>61480000</v>
      </c>
    </row>
    <row r="26" spans="1:5" ht="16" x14ac:dyDescent="0.2">
      <c r="A26" s="86" t="s">
        <v>29</v>
      </c>
      <c r="B26" s="87"/>
      <c r="C26" s="87"/>
      <c r="D26" s="88"/>
    </row>
    <row r="27" spans="1:5" ht="16" x14ac:dyDescent="0.2">
      <c r="A27" s="45" t="s">
        <v>15</v>
      </c>
      <c r="B27" s="46">
        <f>B20*B3</f>
        <v>4000000</v>
      </c>
      <c r="C27" s="46">
        <f>C20*C3</f>
        <v>12000000</v>
      </c>
      <c r="D27" s="47">
        <f>D20*D3</f>
        <v>16000000</v>
      </c>
    </row>
    <row r="28" spans="1:5" ht="16" x14ac:dyDescent="0.2">
      <c r="A28" s="48" t="s">
        <v>76</v>
      </c>
      <c r="B28" s="15">
        <f>B19*B3*B2</f>
        <v>4180000</v>
      </c>
      <c r="C28" s="15">
        <f>C19*C3*C2</f>
        <v>5000000</v>
      </c>
      <c r="D28" s="49">
        <f>D19*D3*D2</f>
        <v>6000000</v>
      </c>
    </row>
    <row r="29" spans="1:5" ht="16" x14ac:dyDescent="0.2">
      <c r="A29" s="45" t="s">
        <v>68</v>
      </c>
      <c r="B29" s="46">
        <f>(1-B18)*B22</f>
        <v>4027999.9999999991</v>
      </c>
      <c r="C29" s="46">
        <f>(1-C18)*C22</f>
        <v>2903599.9999999995</v>
      </c>
      <c r="D29" s="47">
        <f>(1-D18)*D22</f>
        <v>3771999.9999999991</v>
      </c>
    </row>
    <row r="30" spans="1:5" ht="16" x14ac:dyDescent="0.2">
      <c r="A30" s="50" t="s">
        <v>75</v>
      </c>
      <c r="B30" s="19">
        <f>B27+B28+B29</f>
        <v>12208000</v>
      </c>
      <c r="C30" s="19">
        <f>C27+C28+C29</f>
        <v>19903600</v>
      </c>
      <c r="D30" s="51">
        <f>D27+D28+D29</f>
        <v>25772000</v>
      </c>
    </row>
    <row r="31" spans="1:5" ht="16" x14ac:dyDescent="0.2">
      <c r="A31" s="52" t="s">
        <v>31</v>
      </c>
      <c r="B31" s="53">
        <f>B25-B30</f>
        <v>10332000</v>
      </c>
      <c r="C31" s="53">
        <f>C25-C30</f>
        <v>28092400</v>
      </c>
      <c r="D31" s="54">
        <f>D25-D30</f>
        <v>35708000</v>
      </c>
    </row>
    <row r="32" spans="1:5" x14ac:dyDescent="0.2">
      <c r="A32" s="7"/>
      <c r="B32" s="1"/>
      <c r="C32" s="1"/>
      <c r="D32" s="1"/>
    </row>
    <row r="33" spans="1:4" x14ac:dyDescent="0.2">
      <c r="A33" s="8"/>
      <c r="B33" s="3"/>
      <c r="C33" s="3"/>
      <c r="D33" s="3"/>
    </row>
    <row r="34" spans="1:4" x14ac:dyDescent="0.2">
      <c r="A34" s="8"/>
      <c r="B34" s="3"/>
      <c r="C34" s="3"/>
      <c r="D34" s="3"/>
    </row>
    <row r="35" spans="1:4" x14ac:dyDescent="0.2">
      <c r="A35" s="9"/>
      <c r="B35" s="4"/>
      <c r="C35" s="4"/>
      <c r="D35" s="4"/>
    </row>
    <row r="36" spans="1:4" x14ac:dyDescent="0.2">
      <c r="A36" s="9"/>
      <c r="B36" s="4"/>
      <c r="C36" s="4"/>
      <c r="D36" s="4"/>
    </row>
    <row r="37" spans="1:4" x14ac:dyDescent="0.2">
      <c r="A37" s="9"/>
      <c r="B37" s="4"/>
      <c r="C37" s="2"/>
      <c r="D37" s="2"/>
    </row>
    <row r="38" spans="1:4" x14ac:dyDescent="0.2">
      <c r="A38" s="9"/>
      <c r="B38" s="4"/>
      <c r="C38" s="2"/>
      <c r="D38" s="2"/>
    </row>
  </sheetData>
  <mergeCells count="2">
    <mergeCell ref="A21:D21"/>
    <mergeCell ref="A26:D2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FC41C-53D5-3E48-9D89-E9A66F775E41}">
  <dimension ref="A1:E51"/>
  <sheetViews>
    <sheetView tabSelected="1" workbookViewId="0">
      <selection activeCell="C23" sqref="C23"/>
    </sheetView>
  </sheetViews>
  <sheetFormatPr baseColWidth="10" defaultRowHeight="15" x14ac:dyDescent="0.2"/>
  <cols>
    <col min="1" max="1" width="21.83203125" customWidth="1"/>
    <col min="2" max="2" width="14.5" customWidth="1"/>
    <col min="3" max="3" width="14.1640625" customWidth="1"/>
    <col min="4" max="4" width="18" customWidth="1"/>
    <col min="5" max="5" width="77.1640625" customWidth="1"/>
  </cols>
  <sheetData>
    <row r="1" spans="1:5" ht="16" x14ac:dyDescent="0.2">
      <c r="A1" s="69" t="s">
        <v>0</v>
      </c>
      <c r="B1" s="70" t="s">
        <v>17</v>
      </c>
      <c r="C1" s="70" t="s">
        <v>18</v>
      </c>
      <c r="D1" s="71" t="s">
        <v>70</v>
      </c>
      <c r="E1" s="96" t="s">
        <v>80</v>
      </c>
    </row>
    <row r="2" spans="1:5" ht="16" x14ac:dyDescent="0.2">
      <c r="A2" s="56" t="s">
        <v>32</v>
      </c>
      <c r="B2" s="55">
        <v>700000000</v>
      </c>
      <c r="C2" s="55">
        <v>700000000</v>
      </c>
      <c r="D2" s="72">
        <v>700000000</v>
      </c>
      <c r="E2" t="s">
        <v>94</v>
      </c>
    </row>
    <row r="3" spans="1:5" ht="16" x14ac:dyDescent="0.2">
      <c r="A3" s="57" t="s">
        <v>11</v>
      </c>
      <c r="B3" s="12">
        <v>25000</v>
      </c>
      <c r="C3" s="12">
        <v>30000</v>
      </c>
      <c r="D3" s="26">
        <v>30000</v>
      </c>
    </row>
    <row r="4" spans="1:5" ht="16" x14ac:dyDescent="0.2">
      <c r="A4" s="58" t="s">
        <v>16</v>
      </c>
      <c r="B4" s="59">
        <v>20</v>
      </c>
      <c r="C4" s="59">
        <v>20</v>
      </c>
      <c r="D4" s="73">
        <v>20</v>
      </c>
    </row>
    <row r="5" spans="1:5" ht="16" x14ac:dyDescent="0.2">
      <c r="A5" s="60" t="s">
        <v>35</v>
      </c>
      <c r="B5" s="30">
        <v>50000</v>
      </c>
      <c r="C5" s="30">
        <v>50000</v>
      </c>
      <c r="D5" s="31">
        <v>50000</v>
      </c>
      <c r="E5" t="s">
        <v>95</v>
      </c>
    </row>
    <row r="6" spans="1:5" ht="16" x14ac:dyDescent="0.2">
      <c r="A6" s="61" t="s">
        <v>34</v>
      </c>
      <c r="B6" s="13">
        <v>8</v>
      </c>
      <c r="C6" s="13">
        <v>8</v>
      </c>
      <c r="D6" s="28">
        <v>8</v>
      </c>
    </row>
    <row r="7" spans="1:5" ht="16" x14ac:dyDescent="0.2">
      <c r="A7" s="60" t="s">
        <v>44</v>
      </c>
      <c r="B7" s="30">
        <v>1000000</v>
      </c>
      <c r="C7" s="30">
        <v>1000000</v>
      </c>
      <c r="D7" s="31">
        <v>1000000</v>
      </c>
      <c r="E7" t="s">
        <v>96</v>
      </c>
    </row>
    <row r="8" spans="1:5" ht="16" x14ac:dyDescent="0.2">
      <c r="A8" s="61" t="s">
        <v>19</v>
      </c>
      <c r="B8" s="13">
        <v>100</v>
      </c>
      <c r="C8" s="13">
        <v>100</v>
      </c>
      <c r="D8" s="28">
        <v>100</v>
      </c>
      <c r="E8" t="s">
        <v>97</v>
      </c>
    </row>
    <row r="9" spans="1:5" ht="16" x14ac:dyDescent="0.2">
      <c r="A9" s="60" t="s">
        <v>22</v>
      </c>
      <c r="B9" s="30">
        <v>5000</v>
      </c>
      <c r="C9" s="30">
        <v>5000</v>
      </c>
      <c r="D9" s="31">
        <v>5000</v>
      </c>
    </row>
    <row r="10" spans="1:5" ht="16" x14ac:dyDescent="0.2">
      <c r="A10" s="61" t="s">
        <v>36</v>
      </c>
      <c r="B10" s="13">
        <v>30000</v>
      </c>
      <c r="C10" s="13">
        <v>30000</v>
      </c>
      <c r="D10" s="28">
        <v>30000</v>
      </c>
    </row>
    <row r="11" spans="1:5" ht="16" x14ac:dyDescent="0.2">
      <c r="A11" s="60" t="s">
        <v>20</v>
      </c>
      <c r="B11" s="30">
        <v>6000000</v>
      </c>
      <c r="C11" s="30">
        <v>6000000</v>
      </c>
      <c r="D11" s="31">
        <v>6000000</v>
      </c>
      <c r="E11" t="s">
        <v>98</v>
      </c>
    </row>
    <row r="12" spans="1:5" ht="16" x14ac:dyDescent="0.2">
      <c r="A12" s="61" t="s">
        <v>21</v>
      </c>
      <c r="B12" s="13">
        <v>600000</v>
      </c>
      <c r="C12" s="13">
        <v>800000</v>
      </c>
      <c r="D12" s="28">
        <v>800000</v>
      </c>
      <c r="E12" t="s">
        <v>99</v>
      </c>
    </row>
    <row r="13" spans="1:5" ht="16" x14ac:dyDescent="0.2">
      <c r="A13" s="60" t="s">
        <v>12</v>
      </c>
      <c r="B13" s="30">
        <v>32</v>
      </c>
      <c r="C13" s="30">
        <v>38</v>
      </c>
      <c r="D13" s="31">
        <v>38</v>
      </c>
    </row>
    <row r="14" spans="1:5" ht="16" x14ac:dyDescent="0.2">
      <c r="A14" s="61" t="s">
        <v>13</v>
      </c>
      <c r="B14" s="13">
        <v>350000</v>
      </c>
      <c r="C14" s="13">
        <v>400000</v>
      </c>
      <c r="D14" s="28">
        <v>400000</v>
      </c>
    </row>
    <row r="15" spans="1:5" ht="16" x14ac:dyDescent="0.2">
      <c r="A15" s="60" t="s">
        <v>14</v>
      </c>
      <c r="B15" s="34">
        <v>0.7</v>
      </c>
      <c r="C15" s="34">
        <v>0.7</v>
      </c>
      <c r="D15" s="35">
        <v>0.7</v>
      </c>
    </row>
    <row r="16" spans="1:5" ht="16" x14ac:dyDescent="0.2">
      <c r="A16" s="61" t="s">
        <v>45</v>
      </c>
      <c r="B16" s="13">
        <f>B3*B4</f>
        <v>500000</v>
      </c>
      <c r="C16" s="13">
        <f>C3*C4</f>
        <v>600000</v>
      </c>
      <c r="D16" s="28">
        <f>D3*D4</f>
        <v>600000</v>
      </c>
    </row>
    <row r="17" spans="1:5" ht="16" x14ac:dyDescent="0.2">
      <c r="A17" s="60" t="s">
        <v>37</v>
      </c>
      <c r="B17" s="34">
        <v>0.25</v>
      </c>
      <c r="C17" s="34">
        <v>0.25</v>
      </c>
      <c r="D17" s="35">
        <v>0.25</v>
      </c>
      <c r="E17" t="s">
        <v>100</v>
      </c>
    </row>
    <row r="18" spans="1:5" ht="16" x14ac:dyDescent="0.2">
      <c r="A18" s="61" t="s">
        <v>51</v>
      </c>
      <c r="B18" s="13">
        <v>30</v>
      </c>
      <c r="C18" s="13">
        <v>30</v>
      </c>
      <c r="D18" s="28">
        <v>30</v>
      </c>
      <c r="E18" t="s">
        <v>104</v>
      </c>
    </row>
    <row r="19" spans="1:5" ht="16" x14ac:dyDescent="0.2">
      <c r="A19" s="60" t="s">
        <v>38</v>
      </c>
      <c r="B19" s="30">
        <v>80</v>
      </c>
      <c r="C19" s="30">
        <v>80</v>
      </c>
      <c r="D19" s="31">
        <v>80</v>
      </c>
      <c r="E19" t="s">
        <v>105</v>
      </c>
    </row>
    <row r="20" spans="1:5" ht="16" x14ac:dyDescent="0.2">
      <c r="A20" s="61" t="s">
        <v>39</v>
      </c>
      <c r="B20" s="13">
        <v>60</v>
      </c>
      <c r="C20" s="13">
        <v>60</v>
      </c>
      <c r="D20" s="28">
        <v>60</v>
      </c>
      <c r="E20" t="s">
        <v>106</v>
      </c>
    </row>
    <row r="21" spans="1:5" ht="16" x14ac:dyDescent="0.2">
      <c r="A21" s="60" t="s">
        <v>43</v>
      </c>
      <c r="B21" s="30">
        <v>1300</v>
      </c>
      <c r="C21" s="30">
        <v>1600</v>
      </c>
      <c r="D21" s="31">
        <v>1600</v>
      </c>
    </row>
    <row r="22" spans="1:5" ht="16" x14ac:dyDescent="0.2">
      <c r="A22" s="61" t="s">
        <v>40</v>
      </c>
      <c r="B22" s="13">
        <v>20000</v>
      </c>
      <c r="C22" s="13">
        <v>20000</v>
      </c>
      <c r="D22" s="28">
        <v>20000</v>
      </c>
    </row>
    <row r="23" spans="1:5" ht="16" x14ac:dyDescent="0.2">
      <c r="A23" s="60" t="s">
        <v>41</v>
      </c>
      <c r="B23" s="34">
        <v>0.4</v>
      </c>
      <c r="C23" s="34">
        <v>0.4</v>
      </c>
      <c r="D23" s="35">
        <v>0.4</v>
      </c>
    </row>
    <row r="24" spans="1:5" ht="16" x14ac:dyDescent="0.2">
      <c r="A24" s="61" t="s">
        <v>69</v>
      </c>
      <c r="B24" s="17">
        <v>0.05</v>
      </c>
      <c r="C24" s="17">
        <v>0.05</v>
      </c>
      <c r="D24" s="32">
        <v>0.05</v>
      </c>
    </row>
    <row r="25" spans="1:5" ht="16" x14ac:dyDescent="0.2">
      <c r="A25" s="89" t="s">
        <v>30</v>
      </c>
      <c r="B25" s="90"/>
      <c r="C25" s="90"/>
      <c r="D25" s="91"/>
    </row>
    <row r="26" spans="1:5" ht="16" x14ac:dyDescent="0.2">
      <c r="A26" s="62" t="s">
        <v>46</v>
      </c>
      <c r="B26" s="14">
        <f>B6*B7</f>
        <v>8000000</v>
      </c>
      <c r="C26" s="14">
        <f>C6*C7</f>
        <v>8000000</v>
      </c>
      <c r="D26" s="74">
        <f>D6*D7</f>
        <v>8000000</v>
      </c>
    </row>
    <row r="27" spans="1:5" ht="16" x14ac:dyDescent="0.2">
      <c r="A27" s="63" t="s">
        <v>20</v>
      </c>
      <c r="B27" s="64">
        <f>B11</f>
        <v>6000000</v>
      </c>
      <c r="C27" s="64">
        <f>C11</f>
        <v>6000000</v>
      </c>
      <c r="D27" s="75">
        <f>D11</f>
        <v>6000000</v>
      </c>
    </row>
    <row r="28" spans="1:5" ht="16" x14ac:dyDescent="0.2">
      <c r="A28" s="62" t="s">
        <v>48</v>
      </c>
      <c r="B28" s="14">
        <f>B15*B14*B13</f>
        <v>7839999.9999999991</v>
      </c>
      <c r="C28" s="14">
        <f t="shared" ref="C28:D28" si="0">C15*C14*C13</f>
        <v>10640000</v>
      </c>
      <c r="D28" s="74">
        <f t="shared" si="0"/>
        <v>10640000</v>
      </c>
    </row>
    <row r="29" spans="1:5" ht="16" x14ac:dyDescent="0.2">
      <c r="A29" s="63" t="s">
        <v>49</v>
      </c>
      <c r="B29" s="64">
        <f>B21*B22*B23</f>
        <v>10400000</v>
      </c>
      <c r="C29" s="64">
        <f t="shared" ref="C29:D29" si="1">C21*C22*C23</f>
        <v>12800000</v>
      </c>
      <c r="D29" s="75">
        <f t="shared" si="1"/>
        <v>12800000</v>
      </c>
    </row>
    <row r="30" spans="1:5" ht="16" x14ac:dyDescent="0.2">
      <c r="A30" s="62" t="s">
        <v>50</v>
      </c>
      <c r="B30" s="14">
        <f>B17*B19*B5*B6+B8*B9*B17*B20+B3*B4*B17*B18</f>
        <v>19250000</v>
      </c>
      <c r="C30" s="14">
        <f>C17*C19*C5*C6+C8*C9*C17*C20+C3*C4*C17*C18</f>
        <v>20000000</v>
      </c>
      <c r="D30" s="74">
        <f>D17*D19*D5*D6+D8*D9*D17*D20+D3*D4*D17*D18</f>
        <v>20000000</v>
      </c>
    </row>
    <row r="31" spans="1:5" ht="16" x14ac:dyDescent="0.2">
      <c r="A31" s="63" t="s">
        <v>26</v>
      </c>
      <c r="B31" s="64">
        <v>10000000</v>
      </c>
      <c r="C31" s="64">
        <v>10000000</v>
      </c>
      <c r="D31" s="75">
        <v>0</v>
      </c>
    </row>
    <row r="32" spans="1:5" ht="16" x14ac:dyDescent="0.2">
      <c r="A32" s="62" t="s">
        <v>21</v>
      </c>
      <c r="B32" s="14">
        <f>B4*B12</f>
        <v>12000000</v>
      </c>
      <c r="C32" s="14">
        <f>C4*C12</f>
        <v>16000000</v>
      </c>
      <c r="D32" s="74">
        <f>D4*D12</f>
        <v>16000000</v>
      </c>
    </row>
    <row r="33" spans="1:4" ht="16" x14ac:dyDescent="0.2">
      <c r="A33" s="63" t="s">
        <v>47</v>
      </c>
      <c r="B33" s="64">
        <f>B8*B10</f>
        <v>3000000</v>
      </c>
      <c r="C33" s="64">
        <f>C8*C10</f>
        <v>3000000</v>
      </c>
      <c r="D33" s="75">
        <f>D8*D10</f>
        <v>3000000</v>
      </c>
    </row>
    <row r="34" spans="1:4" ht="16" x14ac:dyDescent="0.2">
      <c r="A34" s="65" t="s">
        <v>77</v>
      </c>
      <c r="B34" s="66">
        <f>SUM(B26:B33)</f>
        <v>76490000</v>
      </c>
      <c r="C34" s="66">
        <f t="shared" ref="C34:D34" si="2">SUM(C26:C33)</f>
        <v>86440000</v>
      </c>
      <c r="D34" s="76">
        <f t="shared" si="2"/>
        <v>76440000</v>
      </c>
    </row>
    <row r="35" spans="1:4" ht="16" x14ac:dyDescent="0.2">
      <c r="A35" s="92" t="s">
        <v>29</v>
      </c>
      <c r="B35" s="93"/>
      <c r="C35" s="93"/>
      <c r="D35" s="94"/>
    </row>
    <row r="36" spans="1:4" ht="16" x14ac:dyDescent="0.2">
      <c r="A36" s="67" t="s">
        <v>78</v>
      </c>
      <c r="B36" s="15">
        <f>0.02*B2</f>
        <v>14000000</v>
      </c>
      <c r="C36" s="15">
        <f>0.02*C2</f>
        <v>14000000</v>
      </c>
      <c r="D36" s="49">
        <f>0.02*D2</f>
        <v>14000000</v>
      </c>
    </row>
    <row r="37" spans="1:4" ht="16" x14ac:dyDescent="0.2">
      <c r="A37" s="68" t="s">
        <v>52</v>
      </c>
      <c r="B37" s="46">
        <f>0.4*(B28+B29)</f>
        <v>7296000</v>
      </c>
      <c r="C37" s="46">
        <f t="shared" ref="C37:D37" si="3">0.4*(C28+C29)</f>
        <v>9376000</v>
      </c>
      <c r="D37" s="47">
        <f t="shared" si="3"/>
        <v>9376000</v>
      </c>
    </row>
    <row r="38" spans="1:4" ht="16" x14ac:dyDescent="0.2">
      <c r="A38" s="67" t="s">
        <v>33</v>
      </c>
      <c r="B38" s="15">
        <v>2000000</v>
      </c>
      <c r="C38" s="15">
        <v>3000000</v>
      </c>
      <c r="D38" s="49">
        <v>3000000</v>
      </c>
    </row>
    <row r="39" spans="1:4" ht="16" x14ac:dyDescent="0.2">
      <c r="A39" s="68" t="s">
        <v>5</v>
      </c>
      <c r="B39" s="46">
        <v>0</v>
      </c>
      <c r="C39" s="46">
        <v>0</v>
      </c>
      <c r="D39" s="47">
        <v>14000000</v>
      </c>
    </row>
    <row r="40" spans="1:4" ht="16" x14ac:dyDescent="0.2">
      <c r="A40" s="67" t="s">
        <v>53</v>
      </c>
      <c r="B40" s="15">
        <f>SUM(B36:B38)</f>
        <v>23296000</v>
      </c>
      <c r="C40" s="15">
        <f t="shared" ref="C40:D40" si="4">SUM(C36:C38)</f>
        <v>26376000</v>
      </c>
      <c r="D40" s="49">
        <f t="shared" si="4"/>
        <v>26376000</v>
      </c>
    </row>
    <row r="41" spans="1:4" ht="16" x14ac:dyDescent="0.2">
      <c r="A41" s="92" t="s">
        <v>31</v>
      </c>
      <c r="B41" s="93"/>
      <c r="C41" s="93"/>
      <c r="D41" s="94"/>
    </row>
    <row r="42" spans="1:4" ht="16" x14ac:dyDescent="0.2">
      <c r="A42" s="62" t="s">
        <v>23</v>
      </c>
      <c r="B42" s="14">
        <f>B34-B40</f>
        <v>53194000</v>
      </c>
      <c r="C42" s="14">
        <f>C34-C40</f>
        <v>60064000</v>
      </c>
      <c r="D42" s="74">
        <f>D34-D40</f>
        <v>50064000</v>
      </c>
    </row>
    <row r="43" spans="1:4" ht="16" x14ac:dyDescent="0.2">
      <c r="A43" s="68" t="s">
        <v>56</v>
      </c>
      <c r="B43" s="46">
        <v>32000000</v>
      </c>
      <c r="C43" s="46">
        <v>32000000</v>
      </c>
      <c r="D43" s="47">
        <v>0</v>
      </c>
    </row>
    <row r="44" spans="1:4" ht="16" x14ac:dyDescent="0.2">
      <c r="A44" s="62" t="s">
        <v>57</v>
      </c>
      <c r="B44" s="14">
        <f>B42-B43</f>
        <v>21194000</v>
      </c>
      <c r="C44" s="14">
        <f t="shared" ref="C44:D44" si="5">C42-C43</f>
        <v>28064000</v>
      </c>
      <c r="D44" s="74">
        <f t="shared" si="5"/>
        <v>50064000</v>
      </c>
    </row>
    <row r="45" spans="1:4" ht="16" x14ac:dyDescent="0.2">
      <c r="A45" s="68" t="s">
        <v>24</v>
      </c>
      <c r="B45" s="46">
        <v>16000000</v>
      </c>
      <c r="C45" s="46">
        <v>16000000</v>
      </c>
      <c r="D45" s="47">
        <v>0</v>
      </c>
    </row>
    <row r="46" spans="1:4" ht="16" x14ac:dyDescent="0.2">
      <c r="A46" s="62" t="s">
        <v>59</v>
      </c>
      <c r="B46" s="14">
        <f>B44-B45</f>
        <v>5194000</v>
      </c>
      <c r="C46" s="14">
        <f t="shared" ref="C46:D46" si="6">C44-C45</f>
        <v>12064000</v>
      </c>
      <c r="D46" s="74">
        <f t="shared" si="6"/>
        <v>50064000</v>
      </c>
    </row>
    <row r="47" spans="1:4" ht="16" x14ac:dyDescent="0.2">
      <c r="A47" s="68" t="s">
        <v>58</v>
      </c>
      <c r="B47" s="46">
        <v>0</v>
      </c>
      <c r="C47" s="46">
        <v>0</v>
      </c>
      <c r="D47" s="47">
        <f t="shared" ref="D47" si="7">D46*0.19</f>
        <v>9512160</v>
      </c>
    </row>
    <row r="48" spans="1:4" ht="16" x14ac:dyDescent="0.2">
      <c r="A48" s="62" t="s">
        <v>60</v>
      </c>
      <c r="B48" s="14">
        <f>B46-B47</f>
        <v>5194000</v>
      </c>
      <c r="C48" s="14">
        <f t="shared" ref="C48:D48" si="8">C46-C47</f>
        <v>12064000</v>
      </c>
      <c r="D48" s="74">
        <f t="shared" si="8"/>
        <v>40551840</v>
      </c>
    </row>
    <row r="49" spans="1:4" ht="16" x14ac:dyDescent="0.2">
      <c r="A49" s="68" t="s">
        <v>25</v>
      </c>
      <c r="B49" s="46">
        <v>37000000</v>
      </c>
      <c r="C49" s="46">
        <v>37000000</v>
      </c>
      <c r="D49" s="47">
        <v>0</v>
      </c>
    </row>
    <row r="50" spans="1:4" s="6" customFormat="1" ht="16" x14ac:dyDescent="0.2">
      <c r="A50" s="62" t="s">
        <v>61</v>
      </c>
      <c r="B50" s="14">
        <f>B43</f>
        <v>32000000</v>
      </c>
      <c r="C50" s="14">
        <f t="shared" ref="C50:D50" si="9">C43</f>
        <v>32000000</v>
      </c>
      <c r="D50" s="74">
        <f t="shared" si="9"/>
        <v>0</v>
      </c>
    </row>
    <row r="51" spans="1:4" ht="16" x14ac:dyDescent="0.2">
      <c r="A51" s="77" t="s">
        <v>79</v>
      </c>
      <c r="B51" s="53">
        <f>B48+B50-B49</f>
        <v>194000</v>
      </c>
      <c r="C51" s="53">
        <f t="shared" ref="C51:D51" si="10">C48+C50-C49</f>
        <v>7064000</v>
      </c>
      <c r="D51" s="54">
        <f t="shared" si="10"/>
        <v>40551840</v>
      </c>
    </row>
  </sheetData>
  <mergeCells count="3">
    <mergeCell ref="A25:D25"/>
    <mergeCell ref="A41:D41"/>
    <mergeCell ref="A35:D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"/>
  <sheetViews>
    <sheetView workbookViewId="0">
      <selection activeCell="E7" sqref="E7"/>
    </sheetView>
  </sheetViews>
  <sheetFormatPr baseColWidth="10" defaultColWidth="8.83203125" defaultRowHeight="15" x14ac:dyDescent="0.2"/>
  <cols>
    <col min="1" max="1" width="23.83203125" customWidth="1"/>
    <col min="2" max="3" width="15.33203125" customWidth="1"/>
    <col min="4" max="4" width="16.5" customWidth="1"/>
    <col min="5" max="5" width="80.5" style="5" customWidth="1"/>
    <col min="6" max="7" width="80.5" customWidth="1"/>
  </cols>
  <sheetData>
    <row r="1" spans="1:5" ht="16" x14ac:dyDescent="0.2">
      <c r="A1" s="78" t="s">
        <v>0</v>
      </c>
      <c r="B1" s="11" t="s">
        <v>62</v>
      </c>
      <c r="C1" s="11" t="s">
        <v>72</v>
      </c>
      <c r="D1" s="79" t="s">
        <v>73</v>
      </c>
      <c r="E1" s="11" t="s">
        <v>80</v>
      </c>
    </row>
    <row r="2" spans="1:5" ht="16" x14ac:dyDescent="0.2">
      <c r="A2" s="80" t="s">
        <v>71</v>
      </c>
      <c r="B2" s="16">
        <v>-2500000</v>
      </c>
      <c r="C2" s="16">
        <v>0</v>
      </c>
      <c r="D2" s="16">
        <v>0</v>
      </c>
      <c r="E2" s="16"/>
    </row>
    <row r="3" spans="1:5" ht="16" x14ac:dyDescent="0.2">
      <c r="A3" s="80" t="s">
        <v>63</v>
      </c>
      <c r="B3" s="16">
        <v>0</v>
      </c>
      <c r="C3" s="16">
        <v>-10000000</v>
      </c>
      <c r="D3" s="16">
        <v>0</v>
      </c>
      <c r="E3" s="16" t="s">
        <v>102</v>
      </c>
    </row>
    <row r="4" spans="1:5" ht="16" x14ac:dyDescent="0.2">
      <c r="A4" s="80" t="s">
        <v>65</v>
      </c>
      <c r="B4" s="16">
        <v>0</v>
      </c>
      <c r="C4" s="16">
        <v>0</v>
      </c>
      <c r="D4" s="16">
        <f>8400000*0.022</f>
        <v>184800</v>
      </c>
      <c r="E4" s="16" t="s">
        <v>101</v>
      </c>
    </row>
    <row r="5" spans="1:5" ht="16" x14ac:dyDescent="0.2">
      <c r="A5" s="80" t="s">
        <v>4</v>
      </c>
      <c r="B5" s="16">
        <v>0</v>
      </c>
      <c r="C5" s="16">
        <f>138000000*0.12*0.086</f>
        <v>1424160</v>
      </c>
      <c r="D5" s="16">
        <f>138000000*0.12*0.086</f>
        <v>1424160</v>
      </c>
      <c r="E5" s="16" t="s">
        <v>103</v>
      </c>
    </row>
    <row r="6" spans="1:5" ht="16" x14ac:dyDescent="0.2">
      <c r="A6" s="80" t="s">
        <v>5</v>
      </c>
      <c r="B6" s="16">
        <v>0</v>
      </c>
      <c r="C6" s="16">
        <v>0</v>
      </c>
      <c r="D6" s="16">
        <v>14000000</v>
      </c>
      <c r="E6" s="16" t="s">
        <v>107</v>
      </c>
    </row>
    <row r="7" spans="1:5" ht="16" x14ac:dyDescent="0.2">
      <c r="A7" s="80" t="s">
        <v>64</v>
      </c>
      <c r="B7" s="81">
        <f>SUM(B2:B6)</f>
        <v>-2500000</v>
      </c>
      <c r="C7" s="81">
        <f t="shared" ref="C7:D7" si="0">SUM(C2:C6)</f>
        <v>-8575840</v>
      </c>
      <c r="D7" s="82">
        <f t="shared" si="0"/>
        <v>15608960</v>
      </c>
      <c r="E7" s="16"/>
    </row>
  </sheetData>
  <phoneticPr fontId="14" type="noConversion"/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Wynik klubu</vt:lpstr>
      <vt:lpstr>Wynik operatora</vt:lpstr>
      <vt:lpstr>Budżet Krakowa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Karol Michalak</cp:lastModifiedBy>
  <dcterms:created xsi:type="dcterms:W3CDTF">2025-07-04T09:31:20Z</dcterms:created>
  <dcterms:modified xsi:type="dcterms:W3CDTF">2025-07-30T07:46:45Z</dcterms:modified>
</cp:coreProperties>
</file>