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timdejong/Desktop/"/>
    </mc:Choice>
  </mc:AlternateContent>
  <xr:revisionPtr revIDLastSave="0" documentId="13_ncr:1_{370F655A-29F7-CA4A-889C-0E4C1B1E937D}" xr6:coauthVersionLast="47" xr6:coauthVersionMax="47" xr10:uidLastSave="{00000000-0000-0000-0000-000000000000}"/>
  <bookViews>
    <workbookView xWindow="0" yWindow="500" windowWidth="28800" windowHeight="17500" activeTab="1" xr2:uid="{62CF8498-8A45-4F97-AE55-DF47959C80D7}"/>
  </bookViews>
  <sheets>
    <sheet name="Disclaimer" sheetId="3" r:id="rId1"/>
    <sheet name="Defense Comparables" sheetId="1" r:id="rId2"/>
    <sheet name="Key Source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H38" i="1" l="1"/>
  <c r="J35" i="1"/>
  <c r="AV35" i="1" s="1"/>
  <c r="M35" i="1"/>
  <c r="Z35" i="1"/>
  <c r="AA35" i="1"/>
  <c r="AB35" i="1"/>
  <c r="AH35" i="1"/>
  <c r="AI35" i="1"/>
  <c r="AJ35" i="1"/>
  <c r="AP35" i="1"/>
  <c r="J36" i="1"/>
  <c r="AW36" i="1" s="1"/>
  <c r="M36" i="1"/>
  <c r="Z36" i="1"/>
  <c r="AA36" i="1"/>
  <c r="AB36" i="1"/>
  <c r="AH36" i="1"/>
  <c r="AI36" i="1"/>
  <c r="AJ36" i="1"/>
  <c r="AP36" i="1"/>
  <c r="AP38" i="1"/>
  <c r="AJ38" i="1"/>
  <c r="AI38" i="1"/>
  <c r="X38" i="1"/>
  <c r="AB38" i="1" s="1"/>
  <c r="W38" i="1"/>
  <c r="AA38" i="1" s="1"/>
  <c r="V38" i="1"/>
  <c r="Z38" i="1" s="1"/>
  <c r="M38" i="1"/>
  <c r="J38" i="1"/>
  <c r="AX38" i="1" s="1"/>
  <c r="AP37" i="1"/>
  <c r="AJ37" i="1"/>
  <c r="AI37" i="1"/>
  <c r="AH37" i="1"/>
  <c r="AB37" i="1"/>
  <c r="AA37" i="1"/>
  <c r="Z37" i="1"/>
  <c r="M37" i="1"/>
  <c r="J37" i="1"/>
  <c r="AX37" i="1" s="1"/>
  <c r="AP23" i="1"/>
  <c r="AP25" i="1"/>
  <c r="AP24" i="1"/>
  <c r="AP22" i="1"/>
  <c r="AP26" i="1"/>
  <c r="AP20" i="1"/>
  <c r="AP19" i="1"/>
  <c r="AP21" i="1"/>
  <c r="J24" i="1"/>
  <c r="AW24" i="1" s="1"/>
  <c r="AA21" i="1"/>
  <c r="AB21" i="1"/>
  <c r="AA23" i="1"/>
  <c r="AB23" i="1"/>
  <c r="AA25" i="1"/>
  <c r="AB25" i="1"/>
  <c r="AA24" i="1"/>
  <c r="AB24" i="1"/>
  <c r="AA22" i="1"/>
  <c r="AB22" i="1"/>
  <c r="AA26" i="1"/>
  <c r="AB26" i="1"/>
  <c r="Z23" i="1"/>
  <c r="Z25" i="1"/>
  <c r="Z24" i="1"/>
  <c r="Z22" i="1"/>
  <c r="Z26" i="1"/>
  <c r="Z21" i="1"/>
  <c r="AJ26" i="1"/>
  <c r="AI21" i="1"/>
  <c r="AJ21" i="1"/>
  <c r="AI23" i="1"/>
  <c r="AJ23" i="1"/>
  <c r="AI25" i="1"/>
  <c r="AJ25" i="1"/>
  <c r="AI24" i="1"/>
  <c r="AJ24" i="1"/>
  <c r="AI22" i="1"/>
  <c r="AJ22" i="1"/>
  <c r="AI26" i="1"/>
  <c r="AI20" i="1"/>
  <c r="AJ20" i="1"/>
  <c r="AI19" i="1"/>
  <c r="AJ19" i="1"/>
  <c r="AH23" i="1"/>
  <c r="AH25" i="1"/>
  <c r="AH24" i="1"/>
  <c r="AH22" i="1"/>
  <c r="AH26" i="1"/>
  <c r="AH20" i="1"/>
  <c r="AH19" i="1"/>
  <c r="AH21" i="1"/>
  <c r="J25" i="1"/>
  <c r="AX25" i="1" s="1"/>
  <c r="M23" i="1"/>
  <c r="M25" i="1"/>
  <c r="M24" i="1"/>
  <c r="M22" i="1"/>
  <c r="M26" i="1"/>
  <c r="M20" i="1"/>
  <c r="M19" i="1"/>
  <c r="M21" i="1"/>
  <c r="V20" i="1"/>
  <c r="Z20" i="1" s="1"/>
  <c r="X20" i="1"/>
  <c r="AB20" i="1" s="1"/>
  <c r="W20" i="1"/>
  <c r="AA20" i="1" s="1"/>
  <c r="J19" i="1"/>
  <c r="AV19" i="1" s="1"/>
  <c r="X19" i="1"/>
  <c r="AB19" i="1" s="1"/>
  <c r="W19" i="1"/>
  <c r="AA19" i="1" s="1"/>
  <c r="V19" i="1"/>
  <c r="Z19" i="1" s="1"/>
  <c r="AJ43" i="1" l="1"/>
  <c r="AI41" i="1"/>
  <c r="AP43" i="1"/>
  <c r="AX19" i="1"/>
  <c r="AW19" i="1"/>
  <c r="AB43" i="1"/>
  <c r="AA41" i="1"/>
  <c r="AH41" i="1"/>
  <c r="Z43" i="1"/>
  <c r="AB41" i="1"/>
  <c r="AA43" i="1"/>
  <c r="AJ41" i="1"/>
  <c r="AP41" i="1"/>
  <c r="AH43" i="1"/>
  <c r="AI43" i="1"/>
  <c r="Z41" i="1"/>
  <c r="AX35" i="1"/>
  <c r="AX36" i="1"/>
  <c r="AW35" i="1"/>
  <c r="AV36" i="1"/>
  <c r="AP31" i="1"/>
  <c r="AP29" i="1"/>
  <c r="N35" i="1"/>
  <c r="AR35" i="1" s="1"/>
  <c r="AH31" i="1"/>
  <c r="AI31" i="1"/>
  <c r="AJ29" i="1"/>
  <c r="AB31" i="1"/>
  <c r="AA31" i="1"/>
  <c r="N36" i="1"/>
  <c r="AN36" i="1" s="1"/>
  <c r="Z31" i="1"/>
  <c r="Z29" i="1"/>
  <c r="AJ31" i="1"/>
  <c r="AA29" i="1"/>
  <c r="AB29" i="1"/>
  <c r="AH29" i="1"/>
  <c r="AI29" i="1"/>
  <c r="N38" i="1"/>
  <c r="AV38" i="1"/>
  <c r="AW38" i="1"/>
  <c r="N37" i="1"/>
  <c r="AV37" i="1"/>
  <c r="AW37" i="1"/>
  <c r="N25" i="1"/>
  <c r="N19" i="1"/>
  <c r="AT19" i="1" s="1"/>
  <c r="AL35" i="1" l="1"/>
  <c r="AR36" i="1"/>
  <c r="AM35" i="1"/>
  <c r="AV43" i="1"/>
  <c r="AV41" i="1"/>
  <c r="AS35" i="1"/>
  <c r="AX43" i="1"/>
  <c r="AX41" i="1"/>
  <c r="AN35" i="1"/>
  <c r="AW43" i="1"/>
  <c r="AW41" i="1"/>
  <c r="AT35" i="1"/>
  <c r="AM36" i="1"/>
  <c r="AL36" i="1"/>
  <c r="AT36" i="1"/>
  <c r="AS36" i="1"/>
  <c r="AT38" i="1"/>
  <c r="AS38" i="1"/>
  <c r="AL38" i="1"/>
  <c r="AR38" i="1"/>
  <c r="AN38" i="1"/>
  <c r="AM38" i="1"/>
  <c r="AL37" i="1"/>
  <c r="AT37" i="1"/>
  <c r="AS37" i="1"/>
  <c r="AR37" i="1"/>
  <c r="AN37" i="1"/>
  <c r="AM37" i="1"/>
  <c r="AR19" i="1"/>
  <c r="AS19" i="1"/>
  <c r="AN19" i="1"/>
  <c r="AM19" i="1"/>
  <c r="AL19" i="1"/>
  <c r="J22" i="1"/>
  <c r="J21" i="1"/>
  <c r="J23" i="1"/>
  <c r="J26" i="1"/>
  <c r="AX26" i="1" s="1"/>
  <c r="J20" i="1"/>
  <c r="AL41" i="1" l="1"/>
  <c r="AR41" i="1"/>
  <c r="AL43" i="1"/>
  <c r="AM41" i="1"/>
  <c r="AN41" i="1"/>
  <c r="AN43" i="1"/>
  <c r="AM43" i="1"/>
  <c r="AT43" i="1"/>
  <c r="AT41" i="1"/>
  <c r="AR43" i="1"/>
  <c r="AS43" i="1"/>
  <c r="AS41" i="1"/>
  <c r="AW26" i="1"/>
  <c r="AV26" i="1"/>
  <c r="AX22" i="1"/>
  <c r="AW22" i="1"/>
  <c r="AV22" i="1"/>
  <c r="N22" i="1"/>
  <c r="AV24" i="1"/>
  <c r="AX24" i="1"/>
  <c r="AV25" i="1"/>
  <c r="AW25" i="1"/>
  <c r="N23" i="1"/>
  <c r="AN23" i="1" s="1"/>
  <c r="AV23" i="1"/>
  <c r="AW23" i="1"/>
  <c r="AX23" i="1"/>
  <c r="AW21" i="1"/>
  <c r="AX21" i="1"/>
  <c r="AV21" i="1"/>
  <c r="AX20" i="1"/>
  <c r="AV20" i="1"/>
  <c r="AW20" i="1"/>
  <c r="N20" i="1"/>
  <c r="N26" i="1"/>
  <c r="N24" i="1"/>
  <c r="N21" i="1"/>
  <c r="AW29" i="1" l="1"/>
  <c r="AV31" i="1"/>
  <c r="AV29" i="1"/>
  <c r="AX31" i="1"/>
  <c r="AX29" i="1"/>
  <c r="AW31" i="1"/>
  <c r="AR23" i="1"/>
  <c r="AT23" i="1"/>
  <c r="AS23" i="1"/>
  <c r="AL23" i="1"/>
  <c r="AM23" i="1"/>
  <c r="AS21" i="1"/>
  <c r="AT21" i="1"/>
  <c r="AR21" i="1"/>
  <c r="AN21" i="1"/>
  <c r="AM21" i="1"/>
  <c r="AL21" i="1"/>
  <c r="AT24" i="1"/>
  <c r="AS24" i="1"/>
  <c r="AR24" i="1"/>
  <c r="AL24" i="1"/>
  <c r="AM24" i="1"/>
  <c r="AN24" i="1"/>
  <c r="AT25" i="1"/>
  <c r="AS25" i="1"/>
  <c r="AR25" i="1"/>
  <c r="AN25" i="1"/>
  <c r="AL25" i="1"/>
  <c r="AM25" i="1"/>
  <c r="AS22" i="1"/>
  <c r="AT22" i="1"/>
  <c r="AR22" i="1"/>
  <c r="AN22" i="1"/>
  <c r="AL22" i="1"/>
  <c r="AM22" i="1"/>
  <c r="AT26" i="1"/>
  <c r="AR26" i="1"/>
  <c r="AS26" i="1"/>
  <c r="AN26" i="1"/>
  <c r="AL26" i="1"/>
  <c r="AM26" i="1"/>
  <c r="AT20" i="1"/>
  <c r="AS20" i="1"/>
  <c r="AR20" i="1"/>
  <c r="AN20" i="1"/>
  <c r="AM20" i="1"/>
  <c r="AL20" i="1"/>
  <c r="AL31" i="1" l="1"/>
  <c r="AM31" i="1"/>
  <c r="AN31" i="1"/>
  <c r="AN29" i="1"/>
  <c r="AR31" i="1"/>
  <c r="AT31" i="1"/>
  <c r="AM29" i="1"/>
  <c r="AS31" i="1"/>
  <c r="AS29" i="1"/>
  <c r="AL29" i="1"/>
  <c r="AT29" i="1"/>
  <c r="AR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de Jong</author>
  </authors>
  <commentList>
    <comment ref="B21" authorId="0" shapeId="0" xr:uid="{265EF1A0-7B78-47DB-80BB-8B39AD75B305}">
      <text>
        <r>
          <rPr>
            <b/>
            <sz val="9"/>
            <color indexed="81"/>
            <rFont val="Tahoma"/>
            <family val="2"/>
          </rPr>
          <t>Tim de Jong:</t>
        </r>
        <r>
          <rPr>
            <sz val="9"/>
            <color indexed="81"/>
            <rFont val="Tahoma"/>
            <family val="2"/>
          </rPr>
          <t xml:space="preserve">
Only reports every 6 months</t>
        </r>
      </text>
    </comment>
    <comment ref="R21" authorId="0" shapeId="0" xr:uid="{D6618729-5378-40B5-9389-37CCDFBAF392}">
      <text>
        <r>
          <rPr>
            <b/>
            <sz val="9"/>
            <color indexed="81"/>
            <rFont val="Tahoma"/>
            <family val="2"/>
          </rPr>
          <t>Tim de Jong:</t>
        </r>
        <r>
          <rPr>
            <sz val="9"/>
            <color indexed="81"/>
            <rFont val="Tahoma"/>
            <family val="2"/>
          </rPr>
          <t xml:space="preserve">
Based on Thales Growth estimate 5% (low end)</t>
        </r>
      </text>
    </comment>
    <comment ref="X21" authorId="0" shapeId="0" xr:uid="{027BCA1C-35B6-4BFD-8400-288064227367}">
      <text>
        <r>
          <rPr>
            <b/>
            <sz val="9"/>
            <color indexed="81"/>
            <rFont val="Tahoma"/>
            <family val="2"/>
          </rPr>
          <t>Tim de Jong:</t>
        </r>
        <r>
          <rPr>
            <sz val="9"/>
            <color indexed="81"/>
            <rFont val="Tahoma"/>
            <family val="2"/>
          </rPr>
          <t xml:space="preserve">
Based on Thales EBITDA margin estimate of 11.7%</t>
        </r>
      </text>
    </comment>
    <comment ref="T24" authorId="0" shapeId="0" xr:uid="{26F3C255-84B7-471C-8007-E1E735AA4960}">
      <text>
        <r>
          <rPr>
            <b/>
            <sz val="9"/>
            <color indexed="81"/>
            <rFont val="Tahoma"/>
            <family val="2"/>
          </rPr>
          <t>Tim de Jong:</t>
        </r>
        <r>
          <rPr>
            <sz val="9"/>
            <color indexed="81"/>
            <rFont val="Tahoma"/>
            <family val="2"/>
          </rPr>
          <t xml:space="preserve">
Also includes some orders only covered by frame agreements</t>
        </r>
      </text>
    </comment>
    <comment ref="R26" authorId="0" shapeId="0" xr:uid="{C25CE439-EDA4-4876-BF2C-3FC3203BE326}">
      <text>
        <r>
          <rPr>
            <b/>
            <sz val="9"/>
            <color rgb="FF000000"/>
            <rFont val="Tahoma"/>
            <family val="2"/>
          </rPr>
          <t>Tim de Jong:</t>
        </r>
        <r>
          <rPr>
            <sz val="9"/>
            <color rgb="FF000000"/>
            <rFont val="Tahoma"/>
            <family val="2"/>
          </rPr>
          <t xml:space="preserve">
</t>
        </r>
        <r>
          <rPr>
            <sz val="9"/>
            <color rgb="FF000000"/>
            <rFont val="Tahoma"/>
            <family val="2"/>
          </rPr>
          <t>estimate avg.</t>
        </r>
      </text>
    </comment>
    <comment ref="X26" authorId="0" shapeId="0" xr:uid="{F9B2696E-63B8-4BB4-B1AD-39E792E3CE2E}">
      <text>
        <r>
          <rPr>
            <b/>
            <sz val="9"/>
            <color rgb="FF000000"/>
            <rFont val="Tahoma"/>
            <family val="2"/>
          </rPr>
          <t>Tim de Jong:</t>
        </r>
        <r>
          <rPr>
            <sz val="9"/>
            <color rgb="FF000000"/>
            <rFont val="Tahoma"/>
            <family val="2"/>
          </rPr>
          <t xml:space="preserve">
</t>
        </r>
        <r>
          <rPr>
            <sz val="9"/>
            <color rgb="FF000000"/>
            <rFont val="Tahoma"/>
            <family val="2"/>
          </rPr>
          <t>€349 million (Operating Income) + €226 million (Depreciation and Amortization) = €575 million</t>
        </r>
      </text>
    </comment>
    <comment ref="AF26" authorId="0" shapeId="0" xr:uid="{BD302261-8189-4B80-9A05-45E6810B0F74}">
      <text>
        <r>
          <rPr>
            <b/>
            <sz val="9"/>
            <color indexed="81"/>
            <rFont val="Tahoma"/>
            <family val="2"/>
          </rPr>
          <t>Tim de Jong:</t>
        </r>
        <r>
          <rPr>
            <sz val="9"/>
            <color indexed="81"/>
            <rFont val="Tahoma"/>
            <family val="2"/>
          </rPr>
          <t xml:space="preserve">
Estimate avg. Analysts</t>
        </r>
      </text>
    </comment>
    <comment ref="B36" authorId="0" shapeId="0" xr:uid="{5C722F27-4B5F-47D0-BE44-D0D11DE23DEC}">
      <text>
        <r>
          <rPr>
            <b/>
            <sz val="9"/>
            <color indexed="81"/>
            <rFont val="Tahoma"/>
            <family val="2"/>
          </rPr>
          <t>Tim de Jong:</t>
        </r>
        <r>
          <rPr>
            <sz val="9"/>
            <color indexed="81"/>
            <rFont val="Tahoma"/>
            <family val="2"/>
          </rPr>
          <t xml:space="preserve">
Only reports every 6 months</t>
        </r>
      </text>
    </comment>
    <comment ref="R36" authorId="0" shapeId="0" xr:uid="{E7BEA573-5CCC-4D71-8677-1EBBAE6AD022}">
      <text>
        <r>
          <rPr>
            <b/>
            <sz val="9"/>
            <color indexed="81"/>
            <rFont val="Tahoma"/>
            <family val="2"/>
          </rPr>
          <t>Tim de Jong:</t>
        </r>
        <r>
          <rPr>
            <sz val="9"/>
            <color indexed="81"/>
            <rFont val="Tahoma"/>
            <family val="2"/>
          </rPr>
          <t xml:space="preserve">
Based on Thales Growth estimate 5% (low end)</t>
        </r>
      </text>
    </comment>
    <comment ref="X36" authorId="0" shapeId="0" xr:uid="{2416BBDD-382D-4133-96BE-989A8BA89532}">
      <text>
        <r>
          <rPr>
            <b/>
            <sz val="9"/>
            <color indexed="81"/>
            <rFont val="Tahoma"/>
            <family val="2"/>
          </rPr>
          <t>Tim de Jong:</t>
        </r>
        <r>
          <rPr>
            <sz val="9"/>
            <color indexed="81"/>
            <rFont val="Tahoma"/>
            <family val="2"/>
          </rPr>
          <t xml:space="preserve">
Based on Thales EBITDA margin estimate of 11.7%</t>
        </r>
      </text>
    </comment>
  </commentList>
</comments>
</file>

<file path=xl/sharedStrings.xml><?xml version="1.0" encoding="utf-8"?>
<sst xmlns="http://schemas.openxmlformats.org/spreadsheetml/2006/main" count="158" uniqueCount="95">
  <si>
    <t>EU Defense industry Comparable companies analysis</t>
  </si>
  <si>
    <t>Company</t>
  </si>
  <si>
    <t>Ticker</t>
  </si>
  <si>
    <t>Equity Value</t>
  </si>
  <si>
    <t>Enterprise Value</t>
  </si>
  <si>
    <t>Market Data</t>
  </si>
  <si>
    <t>Financials</t>
  </si>
  <si>
    <t>Revenue</t>
  </si>
  <si>
    <t>EBITDA</t>
  </si>
  <si>
    <t>Net Income</t>
  </si>
  <si>
    <t>Valuation</t>
  </si>
  <si>
    <t>EV/Revenue</t>
  </si>
  <si>
    <t>EV/EBITDA</t>
  </si>
  <si>
    <t>P/E</t>
  </si>
  <si>
    <t>Thales Group</t>
  </si>
  <si>
    <t>Saab AB Ser. B</t>
  </si>
  <si>
    <t>Rheinmettal AG</t>
  </si>
  <si>
    <t>Leonardo SpA</t>
  </si>
  <si>
    <t>Dassault Aviation SA</t>
  </si>
  <si>
    <t>Hensoldt AG</t>
  </si>
  <si>
    <t>BAE Systems PLC</t>
  </si>
  <si>
    <t>Country of Origin</t>
  </si>
  <si>
    <t>HO.PA</t>
  </si>
  <si>
    <t>SAAB-B.ST</t>
  </si>
  <si>
    <t>KOG.OL</t>
  </si>
  <si>
    <t>RHM.DE</t>
  </si>
  <si>
    <t>LDO.MI</t>
  </si>
  <si>
    <t>AM.PA</t>
  </si>
  <si>
    <t>BA.L</t>
  </si>
  <si>
    <t>HAG.DE</t>
  </si>
  <si>
    <t>France</t>
  </si>
  <si>
    <t>Sweden</t>
  </si>
  <si>
    <t>United Kingdom</t>
  </si>
  <si>
    <t>Norway</t>
  </si>
  <si>
    <t>Italy</t>
  </si>
  <si>
    <t>Germany</t>
  </si>
  <si>
    <t>SEK</t>
  </si>
  <si>
    <t>EUR</t>
  </si>
  <si>
    <t>GBP</t>
  </si>
  <si>
    <t>NOK</t>
  </si>
  <si>
    <t>Impl. Shares Outstanding</t>
  </si>
  <si>
    <t>Numbers in millions, unless otherwise stated</t>
  </si>
  <si>
    <t>Share Price  (not M)</t>
  </si>
  <si>
    <t>Reporting currency</t>
  </si>
  <si>
    <t>Industry</t>
  </si>
  <si>
    <t>Aerospace &amp; Defense</t>
  </si>
  <si>
    <t>Debt</t>
  </si>
  <si>
    <t>Cash &amp; Equivalent</t>
  </si>
  <si>
    <t>Airbus SE</t>
  </si>
  <si>
    <t>AIR.PA</t>
  </si>
  <si>
    <t>Net Debt</t>
  </si>
  <si>
    <t>LTM (2024)</t>
  </si>
  <si>
    <t>EBITDA Margin</t>
  </si>
  <si>
    <t>Net Income Margin</t>
  </si>
  <si>
    <t>Median</t>
  </si>
  <si>
    <t>Average</t>
  </si>
  <si>
    <t>Backlog Value</t>
  </si>
  <si>
    <t>Backlog/Revenue</t>
  </si>
  <si>
    <t>Key notes</t>
  </si>
  <si>
    <t>Segments:
- Aeronautics 26% of sales ( Gripen fighter system, advanced pilot training aircraft, T-7A with Boeing and concepts for manned/unmanned future fighter systems)
- Dynamics 23% of sales (Ground combat weapons, ground-based air defence, anti-ship missile, camouflage systems, training &amp; simulation)
- Surveillance 35% of sales (Airborne Early Warning and Control solutions, surface radars, command and control systems, electronic warfare, security and air-traffic solutions.)
- Kockums 14% of sales ( Submarines, surface vessels, combat boats  and underwater vehicles)</t>
  </si>
  <si>
    <t>Segments:
- Defense &amp; Security 49% of sales (Military radars, communication systems, electronic warfare, land and naval defense systems)
- Aerospace 26% of sales (Avionics, air traffic management systems, in-flight entertainment, satellite systems)
- Digital Identity &amp; Security 25% of sales (Cybersecurity, biometric identification, secure transactions, SIM &amp; eSIM technology)​</t>
  </si>
  <si>
    <t>Segments:
- Vehicle Systems 35% of sales (Armored combat vehicles, tactical and logistic vehicles, main battle tanks, amphibious vehicles)
- Weapon and Ammunition 30% of sales (Large and medium caliber ammunition, artillery systems, air defense, infantry weapons)
- Electronic Solutions 18% of sales (Battle management systems, sensor fusion, avionics, vehicle electronics)
- Sensors and Actuators 10% of sales (Automotive components, thermal management, emission reduction systems)
- Materials and Trade 7% of sales (Metal processing, industrial services, supply chain solutions)​</t>
  </si>
  <si>
    <t>Segments:
- Helicopters 33% of sales (AW101, AW169, AW609 tiltrotor, NH90, military and commercial rotorcraft)
- Defense Electronics &amp; Security 29% of sales (Radar, electronic warfare, avionics, cybersecurity, land &amp; naval defense)
- Aeronautics 24% of sales (Eurofighter, M-346 trainer, C-27J, composite aerostructures)
- Space 8% of sales (Satellites, payloads, ground systems, Telespazio &amp; Thales Alenia Space ventures)
- Cyber &amp; Security 6% of sales (AI-driven threat detection, secure communications, digital intelligence)​</t>
  </si>
  <si>
    <t>Segments:
- Military Aviation 62% of sales (Rafale multirole fighter, nEUROn combat drone, New Generation Fighter (NGF) program)
- Business Aviation 38% of sales (Falcon 6X, Falcon 10X, mission-configured Falcon jets for surveillance &amp; intelligence)​</t>
  </si>
  <si>
    <t>Segments:
- Air 38% of sales (Typhoon fighter, F-35 Lightning II, future combat air system Tempest, military pilot training)
- Maritime 24% of sales (Astute-class submarines, Type 26 frigates, naval combat systems, unmanned underwater vehicles)
- Land 18% of sales (Armored fighting vehicles, artillery, precision munitions, battlefield communications)
- Electronic Systems 14% of sales (Electronic warfare, cyber intelligence, AI-driven defense analytics)
- Space &amp; Cyber 6% of sales (Satellite communications, cybersecurity, missile defense, quantum computing)​</t>
  </si>
  <si>
    <t>Segments:
- Radar &amp; Sensors 45% of sales (Airborne and naval radars, counter-drone systems, missile warning sensors)
- Optronics 30% of sales (Night vision, laser targeting, submarine periscopes, thermal imaging)
- Electronic Warfare &amp; Avionics 15% of sales (Self-protection jammers, SIGINT systems, avionics integration)
- Cyber &amp; Secure Communications 10% of sales (Data encryption, electronic warfare software, cyber threat detection)</t>
  </si>
  <si>
    <t>Segments:
- Commercial Aircraft 72% of sales (A320neo, A350 XWB, A220, A380, cabin interiors)
- Helicopters 12% of sales (H135, H145, NH90, Tiger attack helicopter)
- Defense &amp; Space 10% of sales (A400M airlifter, Eurofighter Typhoon, secure communications, satellites)
- Airbus Services 6% of sales (MRO, pilot training, fleet analytics, digital aviation solutions)​</t>
  </si>
  <si>
    <t>Defense Electronics, Sensors &amp; Cybersecurity Specialists</t>
  </si>
  <si>
    <t>Segments:
- Kongsberg Maritime 51% of sales (Integrated vessel solutions, propulsion systems, deck machinery, automation &amp; control, LNG transport vessel systems)
- Kongsberg Defence &amp; Aerospace 39% of sales (Missile systems, air defense solutions, remote weapon stations, naval systems, aerostructures, MRO services)
- Kongsberg Discovery 9% of sales (Ocean mapping and positioning systems, uncrewed underwater vehicles, marine sensors, drone detection radar)
- Kongsberg Digital 1% of sales (Kognitwin dynamic digital twin solutions, industrial software for maritime and energy sectors)</t>
  </si>
  <si>
    <t>Kongsberg Gruppen ASA</t>
  </si>
  <si>
    <t>Aerospace &amp; Defense Primes</t>
  </si>
  <si>
    <t>Key Sources per company</t>
  </si>
  <si>
    <t>Airbus SE IFRS Consolidated Financial Statements 2023, Airbus SE IFRS Consolidated Financial Statements 2024</t>
  </si>
  <si>
    <t>BAE Systems Annual Report 2023, BAE Systems Annual Report 2024</t>
  </si>
  <si>
    <t>Thales Half-Yearly Financial Report 2024</t>
  </si>
  <si>
    <t>Leonardo FY 2024 Preliminary Results Presentation, Leonardo 2022 Annual Report Summary</t>
  </si>
  <si>
    <t>Saab Annual &amp; Sustainability Report 2023, Saab Annual &amp; Sustainability Report 2024</t>
  </si>
  <si>
    <t>Rheinmetall AG</t>
  </si>
  <si>
    <t>Rheinmetall Annual Report 2022, Rheinmetall Annual Report 2023</t>
  </si>
  <si>
    <t>Kongsberg Q4 2023 Preliminary Annual Accounts, Kongsberg Q4 2024 Report</t>
  </si>
  <si>
    <t>Dassault Aviation Annual Report 2023</t>
  </si>
  <si>
    <t>Hensoldt Annual Report 2023, Hensoldt FY 2024 Analyst Presentation</t>
  </si>
  <si>
    <t>The information provided in this Comparables Company Analysis is for informational and educational purposes only and should not be considered financial, investment, or professional advice. The analysis is based on publicly available data, estimates, and personal opinions, which may be incomplete, inaccurate, or subject to change.
I am not a licensed financial advisor, investment professional, or accountant. Nothing in this analysis constitutes a recommendation to buy, sell, or hold any security or investment. Financial markets involve risks, and past performance does not guarantee future results.
You should conduct your own research and consult with a qualified financial professional before making any investment decisions. The website owner, author(s), and affiliated parties assume no responsibility for any financial losses or damages resulting from reliance on this analysis.
By proceeding, you acknowledge and agree to this disclaimer. If you do not agree, please refrain from using this information.</t>
  </si>
  <si>
    <t>Disclaimer – Comparables Company Analysis</t>
  </si>
  <si>
    <t>SitRep:</t>
  </si>
  <si>
    <r>
      <t xml:space="preserve"> - </t>
    </r>
    <r>
      <rPr>
        <b/>
        <sz val="11"/>
        <color theme="1"/>
        <rFont val="Calibri"/>
        <family val="2"/>
        <scheme val="minor"/>
      </rPr>
      <t>Margins</t>
    </r>
    <r>
      <rPr>
        <sz val="11"/>
        <color theme="1"/>
        <rFont val="Calibri"/>
        <family val="2"/>
        <scheme val="minor"/>
      </rPr>
      <t>: net income margins for Aerospace &amp; Defense Primes range between 8-9%, while Defense Electronics, Sensors &amp; Cybersecurity Specialists see slightly lower margins of 5-7%. Notably, Kongsberg Gruppen ASA and Dassault Aviation SA generate higher-than-average net income margins compared to their peers.</t>
    </r>
  </si>
  <si>
    <r>
      <t xml:space="preserve"> - </t>
    </r>
    <r>
      <rPr>
        <b/>
        <sz val="11"/>
        <color theme="1"/>
        <rFont val="Calibri"/>
        <family val="2"/>
        <scheme val="minor"/>
      </rPr>
      <t>Backlogs</t>
    </r>
    <r>
      <rPr>
        <sz val="11"/>
        <color theme="1"/>
        <rFont val="Calibri"/>
        <family val="2"/>
        <scheme val="minor"/>
      </rPr>
      <t>: Aerospace &amp; Defense Primes have strong backlogs, with an average of 4.8x and a median of 3.6x annual revenue already secured. While this guarantees revenue stability, it may also limit their ability to take on new orders (e.g., from ReArm Europe). In contrast, Defense Electronics, Sensors &amp; Cybersecurity Specialists have smaller backlogs—averaging 2.3x and a median of 2.7x annual revenue—which gives them more flexibility to secure additional contracts.</t>
    </r>
  </si>
  <si>
    <r>
      <t xml:space="preserve"> - </t>
    </r>
    <r>
      <rPr>
        <b/>
        <sz val="11"/>
        <color theme="1"/>
        <rFont val="Calibri"/>
        <family val="2"/>
        <scheme val="minor"/>
      </rPr>
      <t>Worth a closer look</t>
    </r>
    <r>
      <rPr>
        <sz val="11"/>
        <color theme="1"/>
        <rFont val="Calibri"/>
        <family val="2"/>
        <scheme val="minor"/>
      </rPr>
      <t>: Kongsberg Gruppen ASA. Kongsberg is interesting for its reasonable P/E, strong margins, substantial backlog, and product portfiolio, including air defenses (e.g. NOMADS).</t>
    </r>
  </si>
  <si>
    <t>These are big players in the industry with and broad integrated offerings across product lines, making attractive partners for laerge joint defense contracts.</t>
  </si>
  <si>
    <t>These are companies that have significant segments dedicated to threat detection, communications and cyber: pan-European capability domains vital to the European defense strategy. Sharp eyes will notice BAE, Thales, and Leonardo fall into both categories.</t>
  </si>
  <si>
    <t>A broad valuation metric showing how much investors pay per dollar of sales. Generally a lower multiple is preferable.</t>
  </si>
  <si>
    <t>A key indicator of secured future revenue, but also of the company's abilities to take more orders.</t>
  </si>
  <si>
    <t>A go-to multiple for comparing profitability in capital-intensive industries. Generally a lower multiple is preferable.</t>
  </si>
  <si>
    <t>The classic metric for gauging how much the market values a company’s earnings. Generally a lower multiple is preferable.</t>
  </si>
  <si>
    <r>
      <t xml:space="preserve">- </t>
    </r>
    <r>
      <rPr>
        <b/>
        <sz val="11"/>
        <color theme="1"/>
        <rFont val="Calibri"/>
        <family val="2"/>
        <scheme val="minor"/>
      </rPr>
      <t>Comparables valuation</t>
    </r>
    <r>
      <rPr>
        <sz val="11"/>
        <color theme="1"/>
        <rFont val="Calibri"/>
        <family val="2"/>
        <scheme val="minor"/>
      </rPr>
      <t>: across comparable companies, investors are generally paying approximately 27 times earnings, as reflected in the median LTM P/E ratio of 27. Notably, Rheinmetall AG (107.4x LTM P/E) and Hensoldt AG (80.5x LTM P/E) trade at significantly higher multiples, indicating investor confidence in these companies.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</si>
</sst>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2]\ * #,##0.00_ ;_ [$€-2]\ * \-#,##0.00_ ;_ [$€-2]\ * &quot;-&quot;??_ ;_ @_ "/>
    <numFmt numFmtId="165" formatCode="0.0\x"/>
    <numFmt numFmtId="166" formatCode="_ [$€-2]\ * #,##0_ ;_ [$€-2]\ * \-#,##0_ ;_ [$€-2]\ * &quot;-&quot;??_ ;_ @_ "/>
    <numFmt numFmtId="167" formatCode="#,##0\ [$kr-41D];\-#,##0\ [$kr-41D]"/>
    <numFmt numFmtId="168" formatCode="[$£-809]#,##0;\-[$£-809]#,##0"/>
    <numFmt numFmtId="169" formatCode="#,##0\ [$kr-814];\-#,##0\ [$kr-814]"/>
    <numFmt numFmtId="170" formatCode="0.0%"/>
    <numFmt numFmtId="171" formatCode="[$£-809]#,##0.00;\-[$£-809]#,##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i/>
      <sz val="11"/>
      <color theme="1"/>
      <name val="Calibri"/>
      <family val="2"/>
      <scheme val="minor"/>
    </font>
    <font>
      <sz val="9"/>
      <color indexed="81"/>
      <name val="Tahoma"/>
      <family val="2"/>
    </font>
    <font>
      <b/>
      <sz val="9"/>
      <color indexed="81"/>
      <name val="Tahoma"/>
      <family val="2"/>
    </font>
    <font>
      <sz val="11"/>
      <name val="Calibri"/>
      <family val="2"/>
      <scheme val="minor"/>
    </font>
    <font>
      <b/>
      <sz val="9"/>
      <color rgb="FF000000"/>
      <name val="Tahoma"/>
      <family val="2"/>
    </font>
    <font>
      <sz val="9"/>
      <color rgb="FF000000"/>
      <name val="Tahoma"/>
      <family val="2"/>
    </font>
    <font>
      <i/>
      <sz val="11"/>
      <color theme="0"/>
      <name val="Calibri"/>
      <family val="2"/>
      <scheme val="minor"/>
    </font>
    <font>
      <b/>
      <sz val="11"/>
      <color theme="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theme="4" tint="0.79998168889431442"/>
        <bgColor indexed="64"/>
      </patternFill>
    </fill>
  </fills>
  <borders count="11">
    <border>
      <left/>
      <right/>
      <top/>
      <bottom/>
      <diagonal/>
    </border>
    <border>
      <left/>
      <right/>
      <top/>
      <bottom style="thin">
        <color theme="0"/>
      </bottom>
      <diagonal/>
    </border>
    <border>
      <left/>
      <right/>
      <top style="thin">
        <color theme="0"/>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4">
    <xf numFmtId="0" fontId="0" fillId="0" borderId="0" xfId="0"/>
    <xf numFmtId="0" fontId="4" fillId="0" borderId="0" xfId="0" applyFont="1"/>
    <xf numFmtId="0" fontId="0" fillId="0" borderId="0" xfId="0" applyAlignment="1">
      <alignment vertical="center" wrapText="1"/>
    </xf>
    <xf numFmtId="164" fontId="0" fillId="0" borderId="0" xfId="0" applyNumberFormat="1" applyAlignment="1">
      <alignment horizontal="center" vertical="center"/>
    </xf>
    <xf numFmtId="0" fontId="0" fillId="0" borderId="0" xfId="0" applyAlignment="1">
      <alignment horizontal="center" vertical="center"/>
    </xf>
    <xf numFmtId="0" fontId="5" fillId="0" borderId="0" xfId="0" applyFont="1"/>
    <xf numFmtId="3" fontId="0" fillId="0" borderId="0" xfId="0" applyNumberFormat="1" applyAlignment="1">
      <alignment vertical="center" wrapText="1"/>
    </xf>
    <xf numFmtId="0" fontId="2" fillId="0" borderId="0" xfId="0" applyFont="1" applyAlignment="1">
      <alignment horizontal="center" vertical="center" wrapText="1"/>
    </xf>
    <xf numFmtId="0" fontId="0" fillId="0" borderId="0" xfId="0" applyAlignment="1">
      <alignment vertical="center"/>
    </xf>
    <xf numFmtId="0" fontId="3" fillId="2" borderId="0" xfId="0" applyFont="1" applyFill="1" applyAlignment="1">
      <alignment horizontal="center" vertical="center"/>
    </xf>
    <xf numFmtId="0" fontId="3" fillId="3" borderId="0" xfId="0" applyFont="1" applyFill="1" applyAlignment="1">
      <alignment horizontal="center" vertical="center"/>
    </xf>
    <xf numFmtId="14" fontId="0" fillId="0" borderId="0" xfId="0" applyNumberFormat="1" applyAlignment="1">
      <alignment horizontal="left"/>
    </xf>
    <xf numFmtId="165" fontId="2" fillId="0" borderId="0" xfId="0" applyNumberFormat="1" applyFont="1" applyAlignment="1">
      <alignment horizontal="center" vertical="center"/>
    </xf>
    <xf numFmtId="166" fontId="0" fillId="0" borderId="0" xfId="0" applyNumberFormat="1" applyAlignment="1">
      <alignment vertical="center" wrapText="1"/>
    </xf>
    <xf numFmtId="166" fontId="0" fillId="0" borderId="0" xfId="0" applyNumberFormat="1"/>
    <xf numFmtId="166" fontId="0" fillId="0" borderId="0" xfId="0" applyNumberFormat="1" applyAlignment="1">
      <alignment horizontal="center" vertical="center"/>
    </xf>
    <xf numFmtId="167" fontId="0" fillId="0" borderId="0" xfId="0" applyNumberFormat="1" applyAlignment="1">
      <alignment vertical="center" wrapText="1"/>
    </xf>
    <xf numFmtId="167" fontId="0" fillId="0" borderId="0" xfId="0" applyNumberFormat="1" applyAlignment="1">
      <alignment horizontal="center" vertical="center"/>
    </xf>
    <xf numFmtId="168" fontId="0" fillId="0" borderId="0" xfId="0" applyNumberFormat="1" applyAlignment="1">
      <alignment vertical="center" wrapText="1"/>
    </xf>
    <xf numFmtId="169" fontId="0" fillId="0" borderId="0" xfId="0" applyNumberFormat="1" applyAlignment="1">
      <alignment vertical="center" wrapText="1"/>
    </xf>
    <xf numFmtId="169" fontId="0" fillId="0" borderId="0" xfId="0" applyNumberFormat="1" applyAlignment="1">
      <alignment horizontal="center" vertical="center"/>
    </xf>
    <xf numFmtId="169" fontId="8" fillId="0" borderId="0" xfId="0" applyNumberFormat="1" applyFont="1" applyAlignment="1">
      <alignment vertical="center" wrapText="1"/>
    </xf>
    <xf numFmtId="170" fontId="0" fillId="0" borderId="0" xfId="1" applyNumberFormat="1" applyFont="1" applyAlignment="1">
      <alignment vertical="center" wrapText="1"/>
    </xf>
    <xf numFmtId="164" fontId="0" fillId="0" borderId="0" xfId="0" applyNumberFormat="1" applyAlignment="1">
      <alignment vertical="center" wrapText="1"/>
    </xf>
    <xf numFmtId="0" fontId="0" fillId="0" borderId="0" xfId="0" applyAlignment="1">
      <alignment horizontal="center"/>
    </xf>
    <xf numFmtId="9" fontId="2" fillId="0" borderId="0" xfId="1" applyFont="1" applyBorder="1" applyAlignment="1">
      <alignment horizontal="center" vertical="center"/>
    </xf>
    <xf numFmtId="0" fontId="2" fillId="4" borderId="0" xfId="0" applyFont="1" applyFill="1"/>
    <xf numFmtId="0" fontId="0" fillId="4" borderId="0" xfId="0" applyFill="1"/>
    <xf numFmtId="0" fontId="0" fillId="4" borderId="0" xfId="0" applyFill="1" applyAlignment="1">
      <alignment vertical="center"/>
    </xf>
    <xf numFmtId="164" fontId="0" fillId="4" borderId="0" xfId="0" applyNumberFormat="1" applyFill="1" applyAlignment="1">
      <alignment vertical="center" wrapText="1"/>
    </xf>
    <xf numFmtId="166" fontId="0" fillId="4" borderId="0" xfId="0" applyNumberFormat="1" applyFill="1"/>
    <xf numFmtId="166" fontId="0" fillId="4" borderId="0" xfId="0" applyNumberFormat="1" applyFill="1" applyAlignment="1">
      <alignment horizontal="center" vertical="center"/>
    </xf>
    <xf numFmtId="166" fontId="0" fillId="4" borderId="0" xfId="0" applyNumberFormat="1" applyFill="1" applyAlignment="1">
      <alignment vertical="center" wrapText="1"/>
    </xf>
    <xf numFmtId="170" fontId="0" fillId="4" borderId="0" xfId="1" applyNumberFormat="1" applyFont="1" applyFill="1" applyAlignment="1">
      <alignment vertical="center" wrapText="1"/>
    </xf>
    <xf numFmtId="165" fontId="2" fillId="4" borderId="0" xfId="0" applyNumberFormat="1" applyFont="1" applyFill="1" applyAlignment="1">
      <alignment horizontal="center" vertical="center"/>
    </xf>
    <xf numFmtId="0" fontId="0" fillId="4" borderId="0" xfId="0" applyFill="1" applyAlignment="1">
      <alignment horizontal="center"/>
    </xf>
    <xf numFmtId="0" fontId="0" fillId="4" borderId="0" xfId="0" applyFill="1" applyAlignment="1">
      <alignment vertical="center" wrapText="1"/>
    </xf>
    <xf numFmtId="165" fontId="0" fillId="0" borderId="0" xfId="0" applyNumberFormat="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9" fontId="2" fillId="0" borderId="6" xfId="1" applyFont="1" applyBorder="1" applyAlignment="1">
      <alignment horizontal="center" vertical="center"/>
    </xf>
    <xf numFmtId="165" fontId="0" fillId="0" borderId="6" xfId="0" applyNumberFormat="1" applyBorder="1" applyAlignment="1">
      <alignment horizontal="center"/>
    </xf>
    <xf numFmtId="9" fontId="2" fillId="0" borderId="8" xfId="1" applyFont="1" applyBorder="1" applyAlignment="1">
      <alignment horizontal="center"/>
    </xf>
    <xf numFmtId="9" fontId="2" fillId="0" borderId="9" xfId="1" applyFont="1" applyBorder="1" applyAlignment="1">
      <alignment horizontal="center"/>
    </xf>
    <xf numFmtId="165" fontId="2" fillId="0" borderId="7" xfId="0" applyNumberFormat="1" applyFont="1" applyBorder="1" applyAlignment="1">
      <alignment horizontal="center" vertical="center"/>
    </xf>
    <xf numFmtId="0" fontId="0" fillId="0" borderId="7" xfId="0" applyBorder="1" applyAlignment="1">
      <alignment horizontal="center"/>
    </xf>
    <xf numFmtId="165" fontId="2" fillId="0" borderId="9" xfId="0" applyNumberFormat="1" applyFont="1" applyBorder="1" applyAlignment="1">
      <alignment horizontal="center"/>
    </xf>
    <xf numFmtId="165" fontId="2" fillId="0" borderId="10" xfId="0" applyNumberFormat="1" applyFont="1" applyBorder="1" applyAlignment="1">
      <alignment horizontal="center"/>
    </xf>
    <xf numFmtId="0" fontId="0" fillId="0" borderId="3" xfId="0" applyBorder="1"/>
    <xf numFmtId="0" fontId="0" fillId="0" borderId="9" xfId="0" applyBorder="1"/>
    <xf numFmtId="165" fontId="2" fillId="0" borderId="9" xfId="0" applyNumberFormat="1" applyFont="1" applyBorder="1" applyAlignment="1">
      <alignment horizontal="center" vertical="center"/>
    </xf>
    <xf numFmtId="171" fontId="0" fillId="0" borderId="0" xfId="0" applyNumberFormat="1" applyAlignment="1">
      <alignment vertical="center" wrapText="1"/>
    </xf>
    <xf numFmtId="171" fontId="0" fillId="4" borderId="0" xfId="0" applyNumberFormat="1" applyFill="1"/>
    <xf numFmtId="171" fontId="2" fillId="0" borderId="0" xfId="0" applyNumberFormat="1" applyFont="1" applyAlignment="1">
      <alignment horizontal="center" vertical="center" wrapText="1"/>
    </xf>
    <xf numFmtId="171" fontId="0" fillId="0" borderId="0" xfId="0" applyNumberFormat="1" applyAlignment="1">
      <alignment horizontal="right" vertical="center"/>
    </xf>
    <xf numFmtId="171" fontId="0" fillId="0" borderId="0" xfId="0" applyNumberFormat="1" applyAlignment="1">
      <alignment horizontal="right" vertical="center" wrapText="1"/>
    </xf>
    <xf numFmtId="0" fontId="0" fillId="0" borderId="0" xfId="0" applyAlignment="1">
      <alignment wrapText="1"/>
    </xf>
    <xf numFmtId="0" fontId="2" fillId="0" borderId="0" xfId="0" applyFont="1"/>
    <xf numFmtId="0" fontId="0" fillId="0" borderId="0" xfId="0" quotePrefix="1"/>
    <xf numFmtId="0" fontId="0" fillId="4" borderId="0" xfId="0" applyFont="1" applyFill="1"/>
    <xf numFmtId="0" fontId="3" fillId="2" borderId="0" xfId="0" applyFont="1" applyFill="1" applyAlignment="1">
      <alignment horizontal="centerContinuous" vertical="top"/>
    </xf>
    <xf numFmtId="0" fontId="12" fillId="2" borderId="0" xfId="0" applyFont="1" applyFill="1" applyAlignment="1">
      <alignment horizontal="centerContinuous" vertical="center"/>
    </xf>
    <xf numFmtId="0" fontId="12" fillId="2" borderId="0" xfId="0" applyFont="1" applyFill="1" applyAlignment="1">
      <alignment horizontal="center" vertical="center"/>
    </xf>
    <xf numFmtId="0" fontId="12" fillId="2" borderId="2"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0" xfId="0" applyFont="1" applyFill="1" applyAlignment="1">
      <alignment vertical="center"/>
    </xf>
    <xf numFmtId="0" fontId="12" fillId="2" borderId="2" xfId="0" applyFont="1" applyFill="1" applyBorder="1" applyAlignment="1">
      <alignment vertical="center"/>
    </xf>
    <xf numFmtId="0" fontId="2" fillId="2" borderId="2" xfId="0" applyFont="1" applyFill="1" applyBorder="1" applyAlignment="1">
      <alignment vertical="center"/>
    </xf>
    <xf numFmtId="0" fontId="2" fillId="0" borderId="0" xfId="0" applyFont="1" applyAlignment="1">
      <alignment vertical="center"/>
    </xf>
    <xf numFmtId="0" fontId="12" fillId="2" borderId="1" xfId="0" applyFont="1" applyFill="1" applyBorder="1" applyAlignment="1">
      <alignment horizontal="centerContinuous"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Continuous" vertical="center"/>
    </xf>
    <xf numFmtId="0" fontId="3" fillId="2" borderId="0" xfId="0" applyFont="1" applyFill="1" applyAlignment="1">
      <alignment horizontal="center" vertical="top"/>
    </xf>
    <xf numFmtId="0" fontId="3" fillId="2" borderId="0" xfId="0" applyFont="1" applyFill="1" applyBorder="1" applyAlignment="1">
      <alignment horizontal="centerContinuous" vertical="top"/>
    </xf>
    <xf numFmtId="0" fontId="0" fillId="2" borderId="0" xfId="0"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3" fillId="2" borderId="0" xfId="0" applyFont="1" applyFill="1" applyBorder="1" applyAlignment="1">
      <alignment vertical="top"/>
    </xf>
    <xf numFmtId="0" fontId="0" fillId="2" borderId="0" xfId="0" applyFill="1" applyBorder="1" applyAlignment="1">
      <alignment vertical="top"/>
    </xf>
    <xf numFmtId="0" fontId="11" fillId="2" borderId="0" xfId="0" applyFont="1" applyFill="1" applyAlignment="1">
      <alignment horizontal="centerContinuous" vertical="top" wrapText="1"/>
    </xf>
    <xf numFmtId="0" fontId="3" fillId="2" borderId="0" xfId="0" applyFont="1" applyFill="1" applyAlignment="1">
      <alignment horizontal="centerContinuous" vertical="top" wrapText="1"/>
    </xf>
    <xf numFmtId="0" fontId="0" fillId="0" borderId="0" xfId="0" applyAlignment="1">
      <alignment vertical="top"/>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colors>
    <mruColors>
      <color rgb="FF263A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31F8-58B1-42C8-AD5A-A9DD6A224A73}">
  <dimension ref="B2:B3"/>
  <sheetViews>
    <sheetView showGridLines="0" workbookViewId="0"/>
  </sheetViews>
  <sheetFormatPr baseColWidth="10" defaultColWidth="8.83203125" defaultRowHeight="15" x14ac:dyDescent="0.2"/>
  <cols>
    <col min="2" max="2" width="133.5" customWidth="1"/>
  </cols>
  <sheetData>
    <row r="2" spans="2:2" ht="24" x14ac:dyDescent="0.3">
      <c r="B2" s="1" t="s">
        <v>83</v>
      </c>
    </row>
    <row r="3" spans="2:2" ht="160" x14ac:dyDescent="0.2">
      <c r="B3" s="57" t="s">
        <v>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52EB4-EED1-446C-A756-7A99AA587639}">
  <dimension ref="B2:AX59"/>
  <sheetViews>
    <sheetView showGridLines="0" tabSelected="1" zoomScaleNormal="100" workbookViewId="0"/>
  </sheetViews>
  <sheetFormatPr baseColWidth="10" defaultColWidth="8.83203125" defaultRowHeight="15" x14ac:dyDescent="0.2"/>
  <cols>
    <col min="2" max="2" width="40" customWidth="1"/>
    <col min="4" max="4" width="28.1640625" bestFit="1" customWidth="1"/>
    <col min="5" max="5" width="52.5" customWidth="1"/>
    <col min="6" max="6" width="16.33203125" bestFit="1" customWidth="1"/>
    <col min="7" max="14" width="24.33203125" customWidth="1"/>
    <col min="15" max="17" width="21.5" customWidth="1"/>
    <col min="18" max="18" width="16.83203125" customWidth="1"/>
    <col min="19" max="19" width="7.1640625" customWidth="1"/>
    <col min="20" max="20" width="16.83203125" customWidth="1"/>
    <col min="21" max="21" width="8.1640625" customWidth="1"/>
    <col min="22" max="24" width="16.83203125" customWidth="1"/>
    <col min="25" max="25" width="8.1640625" customWidth="1"/>
    <col min="26" max="28" width="16.83203125" customWidth="1"/>
    <col min="29" max="29" width="7.5" customWidth="1"/>
    <col min="30" max="32" width="16.83203125" customWidth="1"/>
    <col min="33" max="33" width="10.33203125" customWidth="1"/>
    <col min="34" max="36" width="17.6640625" customWidth="1"/>
    <col min="37" max="37" width="6.5" customWidth="1"/>
    <col min="38" max="40" width="18.33203125" customWidth="1"/>
    <col min="41" max="41" width="6.1640625" customWidth="1"/>
    <col min="42" max="42" width="48" customWidth="1"/>
    <col min="43" max="43" width="6.5" customWidth="1"/>
    <col min="44" max="46" width="18.33203125" customWidth="1"/>
    <col min="47" max="47" width="4.83203125" customWidth="1"/>
    <col min="48" max="50" width="18.33203125" customWidth="1"/>
    <col min="51" max="52" width="21.5" customWidth="1"/>
  </cols>
  <sheetData>
    <row r="2" spans="2:50" ht="24" x14ac:dyDescent="0.3">
      <c r="B2" s="1" t="s">
        <v>0</v>
      </c>
    </row>
    <row r="3" spans="2:50" x14ac:dyDescent="0.2">
      <c r="B3" s="11">
        <v>45735</v>
      </c>
    </row>
    <row r="5" spans="2:50" x14ac:dyDescent="0.2">
      <c r="B5" s="58" t="s">
        <v>84</v>
      </c>
    </row>
    <row r="6" spans="2:50" x14ac:dyDescent="0.2">
      <c r="B6" s="59" t="s">
        <v>94</v>
      </c>
    </row>
    <row r="7" spans="2:50" x14ac:dyDescent="0.2">
      <c r="B7" s="59" t="s">
        <v>85</v>
      </c>
    </row>
    <row r="8" spans="2:50" x14ac:dyDescent="0.2">
      <c r="B8" s="59" t="s">
        <v>86</v>
      </c>
    </row>
    <row r="9" spans="2:50" x14ac:dyDescent="0.2">
      <c r="B9" s="59" t="s">
        <v>87</v>
      </c>
    </row>
    <row r="11" spans="2:50" x14ac:dyDescent="0.2">
      <c r="B11" s="5" t="s">
        <v>41</v>
      </c>
    </row>
    <row r="12" spans="2:50" s="70" customFormat="1" ht="23.25" customHeight="1" x14ac:dyDescent="0.2">
      <c r="B12" s="63"/>
      <c r="C12" s="63"/>
      <c r="D12" s="63"/>
      <c r="E12" s="63"/>
      <c r="F12" s="63"/>
      <c r="G12" s="63"/>
      <c r="H12" s="71" t="s">
        <v>5</v>
      </c>
      <c r="I12" s="71"/>
      <c r="J12" s="71"/>
      <c r="K12" s="71"/>
      <c r="L12" s="71"/>
      <c r="M12" s="71"/>
      <c r="N12" s="71"/>
      <c r="O12" s="63"/>
      <c r="P12" s="72"/>
      <c r="Q12" s="72"/>
      <c r="R12" s="71" t="s">
        <v>6</v>
      </c>
      <c r="S12" s="71"/>
      <c r="T12" s="71"/>
      <c r="U12" s="71"/>
      <c r="V12" s="71"/>
      <c r="W12" s="71"/>
      <c r="X12" s="71"/>
      <c r="Y12" s="71"/>
      <c r="Z12" s="71"/>
      <c r="AA12" s="71"/>
      <c r="AB12" s="71"/>
      <c r="AC12" s="71"/>
      <c r="AD12" s="71"/>
      <c r="AE12" s="71"/>
      <c r="AF12" s="71"/>
      <c r="AG12" s="73"/>
      <c r="AH12" s="73"/>
      <c r="AI12" s="73"/>
      <c r="AJ12" s="73"/>
      <c r="AK12" s="63"/>
      <c r="AL12" s="71" t="s">
        <v>10</v>
      </c>
      <c r="AM12" s="71"/>
      <c r="AN12" s="71"/>
      <c r="AO12" s="71"/>
      <c r="AP12" s="71"/>
      <c r="AQ12" s="71"/>
      <c r="AR12" s="71"/>
      <c r="AS12" s="71"/>
      <c r="AT12" s="71"/>
      <c r="AU12" s="71"/>
      <c r="AV12" s="71"/>
      <c r="AW12" s="71"/>
      <c r="AX12" s="71"/>
    </row>
    <row r="13" spans="2:50" s="70" customFormat="1" ht="22" customHeight="1" x14ac:dyDescent="0.2">
      <c r="B13" s="63"/>
      <c r="C13" s="63"/>
      <c r="D13" s="63"/>
      <c r="E13" s="63"/>
      <c r="F13" s="63"/>
      <c r="G13" s="63"/>
      <c r="H13" s="62"/>
      <c r="I13" s="62"/>
      <c r="J13" s="62"/>
      <c r="K13" s="62"/>
      <c r="L13" s="62"/>
      <c r="M13" s="62"/>
      <c r="N13" s="62"/>
      <c r="O13" s="63"/>
      <c r="P13" s="64" t="s">
        <v>7</v>
      </c>
      <c r="Q13" s="64"/>
      <c r="R13" s="65"/>
      <c r="S13" s="66"/>
      <c r="T13" s="64" t="s">
        <v>56</v>
      </c>
      <c r="U13" s="67"/>
      <c r="V13" s="64" t="s">
        <v>8</v>
      </c>
      <c r="W13" s="65"/>
      <c r="X13" s="65"/>
      <c r="Y13" s="65"/>
      <c r="Z13" s="62" t="s">
        <v>52</v>
      </c>
      <c r="AA13" s="62"/>
      <c r="AB13" s="62"/>
      <c r="AC13" s="69"/>
      <c r="AD13" s="64" t="s">
        <v>9</v>
      </c>
      <c r="AE13" s="65"/>
      <c r="AF13" s="64"/>
      <c r="AG13" s="64"/>
      <c r="AH13" s="68" t="s">
        <v>53</v>
      </c>
      <c r="AI13" s="68"/>
      <c r="AJ13" s="68"/>
      <c r="AK13" s="63"/>
      <c r="AL13" s="62" t="s">
        <v>11</v>
      </c>
      <c r="AM13" s="62"/>
      <c r="AN13" s="62"/>
      <c r="AO13" s="62"/>
      <c r="AP13" s="62" t="s">
        <v>57</v>
      </c>
      <c r="AQ13" s="63"/>
      <c r="AR13" s="62" t="s">
        <v>12</v>
      </c>
      <c r="AS13" s="62"/>
      <c r="AT13" s="62"/>
      <c r="AU13" s="63"/>
      <c r="AV13" s="62" t="s">
        <v>13</v>
      </c>
      <c r="AW13" s="66"/>
      <c r="AX13" s="66"/>
    </row>
    <row r="14" spans="2:50" s="83" customFormat="1" ht="42" customHeight="1" x14ac:dyDescent="0.2">
      <c r="B14" s="74"/>
      <c r="C14" s="74"/>
      <c r="D14" s="74"/>
      <c r="E14" s="74"/>
      <c r="F14" s="74"/>
      <c r="G14" s="74"/>
      <c r="H14" s="61"/>
      <c r="I14" s="61"/>
      <c r="J14" s="61"/>
      <c r="K14" s="61"/>
      <c r="L14" s="61"/>
      <c r="M14" s="61"/>
      <c r="N14" s="61"/>
      <c r="O14" s="74"/>
      <c r="P14" s="75"/>
      <c r="Q14" s="75"/>
      <c r="R14" s="76"/>
      <c r="S14" s="77"/>
      <c r="T14" s="75"/>
      <c r="U14" s="78"/>
      <c r="V14" s="79"/>
      <c r="W14" s="76"/>
      <c r="X14" s="76"/>
      <c r="Y14" s="76"/>
      <c r="Z14" s="61"/>
      <c r="AA14" s="61"/>
      <c r="AB14" s="61"/>
      <c r="AC14" s="80"/>
      <c r="AD14" s="75"/>
      <c r="AE14" s="76"/>
      <c r="AF14" s="75"/>
      <c r="AG14" s="75"/>
      <c r="AH14" s="79"/>
      <c r="AI14" s="79"/>
      <c r="AJ14" s="79"/>
      <c r="AK14" s="74"/>
      <c r="AL14" s="81" t="s">
        <v>90</v>
      </c>
      <c r="AM14" s="82"/>
      <c r="AN14" s="61"/>
      <c r="AO14" s="74"/>
      <c r="AP14" s="81" t="s">
        <v>91</v>
      </c>
      <c r="AQ14" s="74"/>
      <c r="AR14" s="81" t="s">
        <v>92</v>
      </c>
      <c r="AS14" s="61"/>
      <c r="AT14" s="61"/>
      <c r="AU14" s="74"/>
      <c r="AV14" s="81" t="s">
        <v>93</v>
      </c>
      <c r="AW14" s="77"/>
      <c r="AX14" s="77"/>
    </row>
    <row r="15" spans="2:50" s="8" customFormat="1" ht="23.25" customHeight="1" x14ac:dyDescent="0.2">
      <c r="B15" s="9" t="s">
        <v>1</v>
      </c>
      <c r="C15" s="9" t="s">
        <v>2</v>
      </c>
      <c r="D15" s="9" t="s">
        <v>44</v>
      </c>
      <c r="E15" s="9" t="s">
        <v>58</v>
      </c>
      <c r="F15" s="9" t="s">
        <v>21</v>
      </c>
      <c r="G15" s="9" t="s">
        <v>43</v>
      </c>
      <c r="H15" s="9" t="s">
        <v>42</v>
      </c>
      <c r="I15" s="9" t="s">
        <v>40</v>
      </c>
      <c r="J15" s="10" t="s">
        <v>3</v>
      </c>
      <c r="K15" s="10" t="s">
        <v>46</v>
      </c>
      <c r="L15" s="9" t="s">
        <v>47</v>
      </c>
      <c r="M15" s="9" t="s">
        <v>50</v>
      </c>
      <c r="N15" s="10" t="s">
        <v>4</v>
      </c>
      <c r="O15" s="9"/>
      <c r="P15" s="9">
        <v>2022</v>
      </c>
      <c r="Q15" s="9">
        <v>2023</v>
      </c>
      <c r="R15" s="9" t="s">
        <v>51</v>
      </c>
      <c r="S15" s="9"/>
      <c r="T15" s="9" t="s">
        <v>51</v>
      </c>
      <c r="U15" s="9"/>
      <c r="V15" s="9">
        <v>2022</v>
      </c>
      <c r="W15" s="9">
        <v>2023</v>
      </c>
      <c r="X15" s="9" t="s">
        <v>51</v>
      </c>
      <c r="Y15" s="9"/>
      <c r="Z15" s="9">
        <v>2022</v>
      </c>
      <c r="AA15" s="9">
        <v>2023</v>
      </c>
      <c r="AB15" s="9" t="s">
        <v>51</v>
      </c>
      <c r="AC15" s="9"/>
      <c r="AD15" s="9">
        <v>2022</v>
      </c>
      <c r="AE15" s="9">
        <v>2023</v>
      </c>
      <c r="AF15" s="9" t="s">
        <v>51</v>
      </c>
      <c r="AG15" s="9"/>
      <c r="AH15" s="9">
        <v>2022</v>
      </c>
      <c r="AI15" s="9">
        <v>2023</v>
      </c>
      <c r="AJ15" s="9" t="s">
        <v>51</v>
      </c>
      <c r="AK15" s="9"/>
      <c r="AL15" s="9">
        <v>2022</v>
      </c>
      <c r="AM15" s="9">
        <v>2023</v>
      </c>
      <c r="AN15" s="9" t="s">
        <v>51</v>
      </c>
      <c r="AO15" s="9"/>
      <c r="AP15" s="9" t="s">
        <v>51</v>
      </c>
      <c r="AQ15" s="9"/>
      <c r="AR15" s="9">
        <v>2022</v>
      </c>
      <c r="AS15" s="9">
        <v>2023</v>
      </c>
      <c r="AT15" s="9" t="s">
        <v>51</v>
      </c>
      <c r="AU15" s="9"/>
      <c r="AV15" s="9">
        <v>2022</v>
      </c>
      <c r="AW15" s="9">
        <v>2023</v>
      </c>
      <c r="AX15" s="9" t="s">
        <v>51</v>
      </c>
    </row>
    <row r="17" spans="2:50" x14ac:dyDescent="0.2">
      <c r="B17" s="26" t="s">
        <v>70</v>
      </c>
      <c r="C17" s="27"/>
      <c r="D17" s="27"/>
      <c r="E17" s="28"/>
      <c r="F17" s="27"/>
      <c r="G17" s="27"/>
      <c r="H17" s="29"/>
      <c r="I17" s="30"/>
      <c r="J17" s="31"/>
      <c r="K17" s="31"/>
      <c r="L17" s="31"/>
      <c r="M17" s="31"/>
      <c r="N17" s="31"/>
      <c r="O17" s="30"/>
      <c r="P17" s="32"/>
      <c r="Q17" s="32"/>
      <c r="R17" s="32"/>
      <c r="S17" s="32"/>
      <c r="T17" s="32"/>
      <c r="U17" s="32"/>
      <c r="V17" s="32"/>
      <c r="W17" s="32"/>
      <c r="X17" s="32"/>
      <c r="Y17" s="32"/>
      <c r="Z17" s="33"/>
      <c r="AA17" s="33"/>
      <c r="AB17" s="33"/>
      <c r="AC17" s="32"/>
      <c r="AD17" s="32"/>
      <c r="AE17" s="32"/>
      <c r="AF17" s="32"/>
      <c r="AG17" s="32"/>
      <c r="AH17" s="33"/>
      <c r="AI17" s="33"/>
      <c r="AJ17" s="33"/>
      <c r="AK17" s="27"/>
      <c r="AL17" s="34"/>
      <c r="AM17" s="34"/>
      <c r="AN17" s="34"/>
      <c r="AO17" s="34"/>
      <c r="AP17" s="34"/>
      <c r="AQ17" s="35"/>
      <c r="AR17" s="34"/>
      <c r="AS17" s="34"/>
      <c r="AT17" s="34"/>
      <c r="AU17" s="35"/>
      <c r="AV17" s="34"/>
      <c r="AW17" s="34"/>
      <c r="AX17" s="34"/>
    </row>
    <row r="18" spans="2:50" x14ac:dyDescent="0.2">
      <c r="B18" s="60" t="s">
        <v>88</v>
      </c>
      <c r="C18" s="27"/>
      <c r="D18" s="27"/>
      <c r="E18" s="28"/>
      <c r="F18" s="27"/>
      <c r="G18" s="27"/>
      <c r="H18" s="29"/>
      <c r="I18" s="30"/>
      <c r="J18" s="31"/>
      <c r="K18" s="31"/>
      <c r="L18" s="31"/>
      <c r="M18" s="31"/>
      <c r="N18" s="31"/>
      <c r="O18" s="30"/>
      <c r="P18" s="32"/>
      <c r="Q18" s="32"/>
      <c r="R18" s="32"/>
      <c r="S18" s="32"/>
      <c r="T18" s="32"/>
      <c r="U18" s="32"/>
      <c r="V18" s="32"/>
      <c r="W18" s="32"/>
      <c r="X18" s="32"/>
      <c r="Y18" s="32"/>
      <c r="Z18" s="33"/>
      <c r="AA18" s="33"/>
      <c r="AB18" s="33"/>
      <c r="AC18" s="32"/>
      <c r="AD18" s="32"/>
      <c r="AE18" s="32"/>
      <c r="AF18" s="32"/>
      <c r="AG18" s="32"/>
      <c r="AH18" s="33"/>
      <c r="AI18" s="33"/>
      <c r="AJ18" s="33"/>
      <c r="AK18" s="27"/>
      <c r="AL18" s="34"/>
      <c r="AM18" s="34"/>
      <c r="AN18" s="34"/>
      <c r="AO18" s="34"/>
      <c r="AP18" s="34"/>
      <c r="AQ18" s="35"/>
      <c r="AR18" s="34"/>
      <c r="AS18" s="34"/>
      <c r="AT18" s="34"/>
      <c r="AU18" s="35"/>
      <c r="AV18" s="34"/>
      <c r="AW18" s="34"/>
      <c r="AX18" s="34"/>
    </row>
    <row r="19" spans="2:50" x14ac:dyDescent="0.2">
      <c r="B19" t="s">
        <v>48</v>
      </c>
      <c r="C19" t="s">
        <v>49</v>
      </c>
      <c r="D19" t="s">
        <v>45</v>
      </c>
      <c r="E19" s="8" t="s">
        <v>66</v>
      </c>
      <c r="F19" t="s">
        <v>30</v>
      </c>
      <c r="G19" t="s">
        <v>37</v>
      </c>
      <c r="H19" s="3">
        <v>170</v>
      </c>
      <c r="I19">
        <v>799</v>
      </c>
      <c r="J19" s="15">
        <f t="shared" ref="J19:J26" si="0">H19*I19</f>
        <v>135830</v>
      </c>
      <c r="K19" s="15">
        <v>11275</v>
      </c>
      <c r="L19" s="15">
        <v>19179</v>
      </c>
      <c r="M19" s="15">
        <f t="shared" ref="M19:M26" si="1">K19-L19</f>
        <v>-7904</v>
      </c>
      <c r="N19" s="15">
        <f t="shared" ref="N19:N26" si="2">J19+M19</f>
        <v>127926</v>
      </c>
      <c r="O19" s="14"/>
      <c r="P19" s="13">
        <v>58763</v>
      </c>
      <c r="Q19" s="13">
        <v>65446</v>
      </c>
      <c r="R19" s="13">
        <v>69230</v>
      </c>
      <c r="S19" s="13"/>
      <c r="T19" s="13">
        <v>628917</v>
      </c>
      <c r="U19" s="13"/>
      <c r="V19" s="13">
        <f>5325+2716</f>
        <v>8041</v>
      </c>
      <c r="W19" s="13">
        <f>4603+2242</f>
        <v>6845</v>
      </c>
      <c r="X19" s="13">
        <f>5304+2853</f>
        <v>8157</v>
      </c>
      <c r="Y19" s="13"/>
      <c r="Z19" s="22">
        <f t="shared" ref="Z19:Z26" si="3">V19/P19</f>
        <v>0.13683780610247945</v>
      </c>
      <c r="AA19" s="22">
        <f t="shared" ref="AA19:AA26" si="4">W19/Q19</f>
        <v>0.10459004370014974</v>
      </c>
      <c r="AB19" s="22">
        <f t="shared" ref="AB19:AB26" si="5">X19/R19</f>
        <v>0.11782464249602774</v>
      </c>
      <c r="AC19" s="13"/>
      <c r="AD19" s="13">
        <v>4136</v>
      </c>
      <c r="AE19" s="13">
        <v>3613</v>
      </c>
      <c r="AF19" s="13">
        <v>4078</v>
      </c>
      <c r="AG19" s="13"/>
      <c r="AH19" s="22">
        <f t="shared" ref="AH19:AH26" si="6">AD19/P19</f>
        <v>7.0384425573915554E-2</v>
      </c>
      <c r="AI19" s="22">
        <f t="shared" ref="AI19:AI26" si="7">AE19/Q19</f>
        <v>5.5205818537420161E-2</v>
      </c>
      <c r="AJ19" s="22">
        <f t="shared" ref="AJ19:AJ26" si="8">AF19/R19</f>
        <v>5.8905098945543841E-2</v>
      </c>
      <c r="AL19" s="12">
        <f>$N19/P19</f>
        <v>2.1769821145959192</v>
      </c>
      <c r="AM19" s="12">
        <f>$N19/Q19</f>
        <v>1.954680194358708</v>
      </c>
      <c r="AN19" s="12">
        <f>$N19/R19</f>
        <v>1.8478405315614619</v>
      </c>
      <c r="AO19" s="12"/>
      <c r="AP19" s="12">
        <f>T19/R19</f>
        <v>9.0844576050845003</v>
      </c>
      <c r="AQ19" s="24"/>
      <c r="AR19" s="12">
        <f>$N19/V19</f>
        <v>15.909215271732371</v>
      </c>
      <c r="AS19" s="12">
        <f>$N19/W19</f>
        <v>18.688970051132213</v>
      </c>
      <c r="AT19" s="12">
        <f>$N19/X19</f>
        <v>15.682971680764988</v>
      </c>
      <c r="AU19" s="24"/>
      <c r="AV19" s="12">
        <f>$J19/AD19</f>
        <v>32.840909090909093</v>
      </c>
      <c r="AW19" s="12">
        <f>$J19/AE19</f>
        <v>37.594796567949075</v>
      </c>
      <c r="AX19" s="12">
        <f>$J19/AF19</f>
        <v>33.307994114762138</v>
      </c>
    </row>
    <row r="20" spans="2:50" x14ac:dyDescent="0.2">
      <c r="B20" t="s">
        <v>20</v>
      </c>
      <c r="C20" t="s">
        <v>28</v>
      </c>
      <c r="D20" t="s">
        <v>45</v>
      </c>
      <c r="E20" s="8" t="s">
        <v>64</v>
      </c>
      <c r="F20" t="s">
        <v>32</v>
      </c>
      <c r="G20" t="s">
        <v>38</v>
      </c>
      <c r="H20" s="23">
        <v>16.760000000000002</v>
      </c>
      <c r="I20" s="2">
        <v>3070</v>
      </c>
      <c r="J20" s="18">
        <f t="shared" si="0"/>
        <v>51453.200000000004</v>
      </c>
      <c r="K20" s="18">
        <v>26356</v>
      </c>
      <c r="L20" s="18">
        <v>3378</v>
      </c>
      <c r="M20" s="15">
        <f t="shared" si="1"/>
        <v>22978</v>
      </c>
      <c r="N20" s="18">
        <f t="shared" si="2"/>
        <v>74431.200000000012</v>
      </c>
      <c r="O20" s="18"/>
      <c r="P20" s="18">
        <v>21258</v>
      </c>
      <c r="Q20" s="18">
        <v>23078</v>
      </c>
      <c r="R20" s="18">
        <v>26321</v>
      </c>
      <c r="S20" s="18"/>
      <c r="T20" s="18">
        <v>77800</v>
      </c>
      <c r="U20" s="18"/>
      <c r="V20" s="18">
        <f>2384-767</f>
        <v>1617</v>
      </c>
      <c r="W20" s="18">
        <f>2573-787</f>
        <v>1786</v>
      </c>
      <c r="X20" s="18">
        <f>2685-1097</f>
        <v>1588</v>
      </c>
      <c r="Y20" s="18"/>
      <c r="Z20" s="22">
        <f t="shared" si="3"/>
        <v>7.6065481230595547E-2</v>
      </c>
      <c r="AA20" s="22">
        <f t="shared" si="4"/>
        <v>7.7389721812982065E-2</v>
      </c>
      <c r="AB20" s="22">
        <f t="shared" si="5"/>
        <v>6.0332054253257855E-2</v>
      </c>
      <c r="AC20" s="18"/>
      <c r="AD20" s="18">
        <v>1674</v>
      </c>
      <c r="AE20" s="18">
        <v>1940</v>
      </c>
      <c r="AF20" s="18">
        <v>2041</v>
      </c>
      <c r="AG20" s="18"/>
      <c r="AH20" s="22">
        <f t="shared" si="6"/>
        <v>7.8746824724809483E-2</v>
      </c>
      <c r="AI20" s="22">
        <f t="shared" si="7"/>
        <v>8.4062743738625531E-2</v>
      </c>
      <c r="AJ20" s="22">
        <f t="shared" si="8"/>
        <v>7.754264655598192E-2</v>
      </c>
      <c r="AK20" s="4"/>
      <c r="AL20" s="12">
        <f>$N20/P20</f>
        <v>3.5013265594129273</v>
      </c>
      <c r="AM20" s="12">
        <f>$N20/Q20</f>
        <v>3.2252014905971058</v>
      </c>
      <c r="AN20" s="12">
        <f>$N20/R20</f>
        <v>2.8278256905132788</v>
      </c>
      <c r="AO20" s="12"/>
      <c r="AP20" s="12">
        <f>T20/R20</f>
        <v>2.9558147486797615</v>
      </c>
      <c r="AQ20" s="4"/>
      <c r="AR20" s="12">
        <f>$N20/V20</f>
        <v>46.030426716141008</v>
      </c>
      <c r="AS20" s="12">
        <f>$N20/W20</f>
        <v>41.674804031354988</v>
      </c>
      <c r="AT20" s="12">
        <f>$N20/X20</f>
        <v>46.871032745591947</v>
      </c>
      <c r="AU20" s="4"/>
      <c r="AV20" s="12">
        <f>$J20/AD20</f>
        <v>30.736678614097972</v>
      </c>
      <c r="AW20" s="12">
        <f>$J20/AE20</f>
        <v>26.522268041237115</v>
      </c>
      <c r="AX20" s="12">
        <f>$J20/AF20</f>
        <v>25.209799118079374</v>
      </c>
    </row>
    <row r="21" spans="2:50" x14ac:dyDescent="0.2">
      <c r="B21" t="s">
        <v>14</v>
      </c>
      <c r="C21" t="s">
        <v>22</v>
      </c>
      <c r="D21" t="s">
        <v>45</v>
      </c>
      <c r="E21" t="s">
        <v>60</v>
      </c>
      <c r="F21" t="s">
        <v>30</v>
      </c>
      <c r="G21" t="s">
        <v>37</v>
      </c>
      <c r="H21" s="3">
        <v>250</v>
      </c>
      <c r="I21">
        <v>206.21</v>
      </c>
      <c r="J21" s="15">
        <f t="shared" si="0"/>
        <v>51552.5</v>
      </c>
      <c r="K21" s="15">
        <v>8443.6</v>
      </c>
      <c r="L21" s="15">
        <v>4080.5</v>
      </c>
      <c r="M21" s="15">
        <f t="shared" si="1"/>
        <v>4363.1000000000004</v>
      </c>
      <c r="N21" s="15">
        <f t="shared" si="2"/>
        <v>55915.6</v>
      </c>
      <c r="O21" s="15"/>
      <c r="P21" s="13">
        <v>17568.400000000001</v>
      </c>
      <c r="Q21" s="13">
        <v>18428.8</v>
      </c>
      <c r="R21" s="13">
        <v>19900</v>
      </c>
      <c r="S21" s="13"/>
      <c r="T21" s="13">
        <v>46958</v>
      </c>
      <c r="U21" s="13"/>
      <c r="V21" s="13">
        <v>1451.4</v>
      </c>
      <c r="W21" s="13">
        <v>2456.3000000000002</v>
      </c>
      <c r="X21" s="13">
        <v>2330</v>
      </c>
      <c r="Y21" s="13"/>
      <c r="Z21" s="22">
        <f t="shared" si="3"/>
        <v>8.2614239202203954E-2</v>
      </c>
      <c r="AA21" s="22">
        <f t="shared" si="4"/>
        <v>0.1332859437402327</v>
      </c>
      <c r="AB21" s="22">
        <f t="shared" si="5"/>
        <v>0.11708542713567839</v>
      </c>
      <c r="AC21" s="13"/>
      <c r="AD21" s="13">
        <v>1120.5999999999999</v>
      </c>
      <c r="AE21" s="13">
        <v>1023.4</v>
      </c>
      <c r="AF21" s="13">
        <v>1900</v>
      </c>
      <c r="AG21" s="13"/>
      <c r="AH21" s="22">
        <f t="shared" si="6"/>
        <v>6.3784977573370358E-2</v>
      </c>
      <c r="AI21" s="22">
        <f t="shared" si="7"/>
        <v>5.5532644556346586E-2</v>
      </c>
      <c r="AJ21" s="22">
        <f t="shared" si="8"/>
        <v>9.5477386934673364E-2</v>
      </c>
      <c r="AK21" s="3"/>
      <c r="AL21" s="12">
        <f>$N21/P21</f>
        <v>3.182737187222513</v>
      </c>
      <c r="AM21" s="12">
        <f>$N21/Q21</f>
        <v>3.0341422121896162</v>
      </c>
      <c r="AN21" s="12">
        <f>$N21/R21</f>
        <v>2.8098291457286431</v>
      </c>
      <c r="AO21" s="12"/>
      <c r="AP21" s="12">
        <f>T21/R21</f>
        <v>2.3596984924623117</v>
      </c>
      <c r="AQ21" s="4"/>
      <c r="AR21" s="12">
        <f>$N21/V21</f>
        <v>38.525285930825405</v>
      </c>
      <c r="AS21" s="12">
        <f>$N21/W21</f>
        <v>22.76415747262142</v>
      </c>
      <c r="AT21" s="12">
        <f>$N21/X21</f>
        <v>23.998111587982834</v>
      </c>
      <c r="AU21" s="4"/>
      <c r="AV21" s="12">
        <f>$J21/AD21</f>
        <v>46.004372657504909</v>
      </c>
      <c r="AW21" s="12">
        <f>$J21/AE21</f>
        <v>50.373754152823921</v>
      </c>
      <c r="AX21" s="12">
        <f>$J21/AF21</f>
        <v>27.132894736842104</v>
      </c>
    </row>
    <row r="22" spans="2:50" x14ac:dyDescent="0.2">
      <c r="B22" t="s">
        <v>17</v>
      </c>
      <c r="C22" t="s">
        <v>26</v>
      </c>
      <c r="D22" t="s">
        <v>45</v>
      </c>
      <c r="E22" s="8" t="s">
        <v>62</v>
      </c>
      <c r="F22" t="s">
        <v>34</v>
      </c>
      <c r="G22" t="s">
        <v>37</v>
      </c>
      <c r="H22" s="3">
        <v>48.62</v>
      </c>
      <c r="I22">
        <v>593.66</v>
      </c>
      <c r="J22" s="15">
        <f t="shared" si="0"/>
        <v>28863.749199999998</v>
      </c>
      <c r="K22" s="15">
        <v>4929</v>
      </c>
      <c r="L22" s="15">
        <v>2500</v>
      </c>
      <c r="M22" s="15">
        <f t="shared" si="1"/>
        <v>2429</v>
      </c>
      <c r="N22" s="15">
        <f t="shared" si="2"/>
        <v>31292.749199999998</v>
      </c>
      <c r="O22" s="15"/>
      <c r="P22" s="13">
        <v>14700</v>
      </c>
      <c r="Q22" s="13">
        <v>16000</v>
      </c>
      <c r="R22" s="13">
        <v>17800</v>
      </c>
      <c r="S22" s="13"/>
      <c r="T22" s="13">
        <v>15100</v>
      </c>
      <c r="U22" s="13"/>
      <c r="V22" s="13">
        <v>1218</v>
      </c>
      <c r="W22" s="13">
        <v>1351</v>
      </c>
      <c r="X22" s="13">
        <v>1525</v>
      </c>
      <c r="Y22" s="13"/>
      <c r="Z22" s="22">
        <f t="shared" si="3"/>
        <v>8.2857142857142851E-2</v>
      </c>
      <c r="AA22" s="22">
        <f t="shared" si="4"/>
        <v>8.4437499999999999E-2</v>
      </c>
      <c r="AB22" s="22">
        <f t="shared" si="5"/>
        <v>8.5674157303370788E-2</v>
      </c>
      <c r="AC22" s="13"/>
      <c r="AD22" s="13">
        <v>927</v>
      </c>
      <c r="AE22" s="13">
        <v>658</v>
      </c>
      <c r="AF22" s="13">
        <v>1059</v>
      </c>
      <c r="AG22" s="13"/>
      <c r="AH22" s="22">
        <f t="shared" si="6"/>
        <v>6.3061224489795925E-2</v>
      </c>
      <c r="AI22" s="22">
        <f t="shared" si="7"/>
        <v>4.1125000000000002E-2</v>
      </c>
      <c r="AJ22" s="22">
        <f t="shared" si="8"/>
        <v>5.9494382022471912E-2</v>
      </c>
      <c r="AK22" s="4"/>
      <c r="AL22" s="12">
        <f>$N22/P22</f>
        <v>2.1287584489795917</v>
      </c>
      <c r="AM22" s="12">
        <f>$N22/Q22</f>
        <v>1.955796825</v>
      </c>
      <c r="AN22" s="12">
        <f>$N22/R22</f>
        <v>1.758019617977528</v>
      </c>
      <c r="AO22" s="12"/>
      <c r="AP22" s="12">
        <f>T22/R22</f>
        <v>0.848314606741573</v>
      </c>
      <c r="AQ22" s="4"/>
      <c r="AR22" s="12">
        <f>$N22/V22</f>
        <v>25.691912315270933</v>
      </c>
      <c r="AS22" s="12">
        <f>$N22/W22</f>
        <v>23.162656698741671</v>
      </c>
      <c r="AT22" s="12">
        <f>$N22/X22</f>
        <v>20.519835540983607</v>
      </c>
      <c r="AU22" s="4"/>
      <c r="AV22" s="12">
        <f>$J22/AD22</f>
        <v>31.136730528586838</v>
      </c>
      <c r="AW22" s="12">
        <f>$J22/AE22</f>
        <v>43.865880243161094</v>
      </c>
      <c r="AX22" s="12">
        <f>$J22/AF22</f>
        <v>27.255664966949951</v>
      </c>
    </row>
    <row r="23" spans="2:50" x14ac:dyDescent="0.2">
      <c r="B23" t="s">
        <v>15</v>
      </c>
      <c r="C23" t="s">
        <v>23</v>
      </c>
      <c r="D23" t="s">
        <v>45</v>
      </c>
      <c r="E23" t="s">
        <v>59</v>
      </c>
      <c r="F23" t="s">
        <v>31</v>
      </c>
      <c r="G23" t="s">
        <v>36</v>
      </c>
      <c r="H23" s="23">
        <v>385.45</v>
      </c>
      <c r="I23">
        <v>536.47</v>
      </c>
      <c r="J23" s="16">
        <f t="shared" si="0"/>
        <v>206782.3615</v>
      </c>
      <c r="K23" s="16">
        <v>64011</v>
      </c>
      <c r="L23" s="16">
        <v>11741</v>
      </c>
      <c r="M23" s="15">
        <f t="shared" si="1"/>
        <v>52270</v>
      </c>
      <c r="N23" s="16">
        <f t="shared" si="2"/>
        <v>259052.3615</v>
      </c>
      <c r="O23" s="17"/>
      <c r="P23" s="16">
        <v>42006</v>
      </c>
      <c r="Q23" s="16">
        <v>51609</v>
      </c>
      <c r="R23" s="16">
        <v>63751</v>
      </c>
      <c r="S23" s="16"/>
      <c r="T23" s="16">
        <v>187223</v>
      </c>
      <c r="U23" s="16"/>
      <c r="V23" s="16">
        <v>5401</v>
      </c>
      <c r="W23" s="16">
        <v>6558</v>
      </c>
      <c r="X23" s="16">
        <v>8402</v>
      </c>
      <c r="Y23" s="16"/>
      <c r="Z23" s="22">
        <f t="shared" si="3"/>
        <v>0.12857686997095652</v>
      </c>
      <c r="AA23" s="22">
        <f t="shared" si="4"/>
        <v>0.12707085973376736</v>
      </c>
      <c r="AB23" s="22">
        <f t="shared" si="5"/>
        <v>0.13179401107433608</v>
      </c>
      <c r="AC23" s="16"/>
      <c r="AD23" s="16">
        <v>2283</v>
      </c>
      <c r="AE23" s="16">
        <v>3443</v>
      </c>
      <c r="AF23" s="16">
        <v>4210</v>
      </c>
      <c r="AG23" s="16"/>
      <c r="AH23" s="22">
        <f t="shared" si="6"/>
        <v>5.4349378660191398E-2</v>
      </c>
      <c r="AI23" s="22">
        <f t="shared" si="7"/>
        <v>6.6713170183495124E-2</v>
      </c>
      <c r="AJ23" s="22">
        <f t="shared" si="8"/>
        <v>6.6038179793258142E-2</v>
      </c>
      <c r="AK23" s="4"/>
      <c r="AL23" s="12">
        <f>$N23/P23</f>
        <v>6.1670323644241298</v>
      </c>
      <c r="AM23" s="12">
        <f>$N23/Q23</f>
        <v>5.0195191051948305</v>
      </c>
      <c r="AN23" s="12">
        <f>$N23/R23</f>
        <v>4.0635027136829223</v>
      </c>
      <c r="AO23" s="12"/>
      <c r="AP23" s="12">
        <f>T23/R23</f>
        <v>2.9367853053285438</v>
      </c>
      <c r="AQ23" s="4"/>
      <c r="AR23" s="12">
        <f>$N23/V23</f>
        <v>47.963777356045178</v>
      </c>
      <c r="AS23" s="12">
        <f>$N23/W23</f>
        <v>39.501732464165904</v>
      </c>
      <c r="AT23" s="12">
        <f>$N23/X23</f>
        <v>30.832225839085933</v>
      </c>
      <c r="AU23" s="4"/>
      <c r="AV23" s="12">
        <f>$J23/AD23</f>
        <v>90.574840779675867</v>
      </c>
      <c r="AW23" s="12">
        <f>$J23/AE23</f>
        <v>60.058774760383386</v>
      </c>
      <c r="AX23" s="12">
        <f>$J23/AF23</f>
        <v>49.116950475059383</v>
      </c>
    </row>
    <row r="24" spans="2:50" x14ac:dyDescent="0.2">
      <c r="B24" t="s">
        <v>16</v>
      </c>
      <c r="C24" t="s">
        <v>25</v>
      </c>
      <c r="D24" t="s">
        <v>45</v>
      </c>
      <c r="E24" s="8" t="s">
        <v>61</v>
      </c>
      <c r="F24" t="s">
        <v>35</v>
      </c>
      <c r="G24" t="s">
        <v>37</v>
      </c>
      <c r="H24" s="3">
        <v>1391</v>
      </c>
      <c r="I24">
        <v>43.48</v>
      </c>
      <c r="J24" s="15">
        <f t="shared" si="0"/>
        <v>60480.679999999993</v>
      </c>
      <c r="K24" s="15">
        <v>8759</v>
      </c>
      <c r="L24" s="15">
        <v>464</v>
      </c>
      <c r="M24" s="15">
        <f t="shared" si="1"/>
        <v>8295</v>
      </c>
      <c r="N24" s="15">
        <f t="shared" si="2"/>
        <v>68775.679999999993</v>
      </c>
      <c r="O24" s="15"/>
      <c r="P24" s="13">
        <v>6410</v>
      </c>
      <c r="Q24" s="13">
        <v>7176</v>
      </c>
      <c r="R24" s="13">
        <v>8826</v>
      </c>
      <c r="S24" s="13"/>
      <c r="T24" s="13">
        <v>38290</v>
      </c>
      <c r="U24" s="13"/>
      <c r="V24" s="13">
        <v>1000</v>
      </c>
      <c r="W24" s="13">
        <v>1234</v>
      </c>
      <c r="X24" s="13">
        <v>1537</v>
      </c>
      <c r="Y24" s="13"/>
      <c r="Z24" s="22">
        <f t="shared" si="3"/>
        <v>0.15600624024960999</v>
      </c>
      <c r="AA24" s="22">
        <f t="shared" si="4"/>
        <v>0.17196209587513936</v>
      </c>
      <c r="AB24" s="22">
        <f t="shared" si="5"/>
        <v>0.1741445728529345</v>
      </c>
      <c r="AC24" s="13"/>
      <c r="AD24" s="13">
        <v>474</v>
      </c>
      <c r="AE24" s="13">
        <v>535</v>
      </c>
      <c r="AF24" s="13">
        <v>563</v>
      </c>
      <c r="AG24" s="13"/>
      <c r="AH24" s="22">
        <f t="shared" si="6"/>
        <v>7.3946957878315137E-2</v>
      </c>
      <c r="AI24" s="22">
        <f t="shared" si="7"/>
        <v>7.4554069119286512E-2</v>
      </c>
      <c r="AJ24" s="22">
        <f t="shared" si="8"/>
        <v>6.3788805801042375E-2</v>
      </c>
      <c r="AK24" s="4"/>
      <c r="AL24" s="12">
        <f>$N24/P24</f>
        <v>10.729435257410294</v>
      </c>
      <c r="AM24" s="12">
        <f>$N24/Q24</f>
        <v>9.5841248606465985</v>
      </c>
      <c r="AN24" s="12">
        <f>$N24/R24</f>
        <v>7.7923951960117828</v>
      </c>
      <c r="AO24" s="12"/>
      <c r="AP24" s="12">
        <f>T24/R24</f>
        <v>4.3383186041241784</v>
      </c>
      <c r="AQ24" s="4"/>
      <c r="AR24" s="12">
        <f>$N24/V24</f>
        <v>68.775679999999994</v>
      </c>
      <c r="AS24" s="12">
        <f>$N24/W24</f>
        <v>55.733938411669364</v>
      </c>
      <c r="AT24" s="12">
        <f>$N24/X24</f>
        <v>44.746701366297977</v>
      </c>
      <c r="AU24" s="4"/>
      <c r="AV24" s="12">
        <f>$J24/AD24</f>
        <v>127.59637130801686</v>
      </c>
      <c r="AW24" s="12">
        <f>$J24/AE24</f>
        <v>113.04799999999999</v>
      </c>
      <c r="AX24" s="12">
        <f>$J24/AF24</f>
        <v>107.42571936056837</v>
      </c>
    </row>
    <row r="25" spans="2:50" x14ac:dyDescent="0.2">
      <c r="B25" t="s">
        <v>69</v>
      </c>
      <c r="C25" t="s">
        <v>24</v>
      </c>
      <c r="D25" t="s">
        <v>45</v>
      </c>
      <c r="E25" s="8" t="s">
        <v>68</v>
      </c>
      <c r="F25" t="s">
        <v>33</v>
      </c>
      <c r="G25" t="s">
        <v>39</v>
      </c>
      <c r="H25" s="23">
        <v>142.4</v>
      </c>
      <c r="I25">
        <v>187.26</v>
      </c>
      <c r="J25" s="19">
        <f t="shared" si="0"/>
        <v>26665.824000000001</v>
      </c>
      <c r="K25" s="19">
        <v>6449</v>
      </c>
      <c r="L25" s="19">
        <v>14293</v>
      </c>
      <c r="M25" s="15">
        <f t="shared" si="1"/>
        <v>-7844</v>
      </c>
      <c r="N25" s="19">
        <f t="shared" si="2"/>
        <v>18821.824000000001</v>
      </c>
      <c r="O25" s="20"/>
      <c r="P25" s="21">
        <v>9444</v>
      </c>
      <c r="Q25" s="21">
        <v>11936</v>
      </c>
      <c r="R25" s="21">
        <v>13903</v>
      </c>
      <c r="S25" s="21"/>
      <c r="T25" s="21">
        <v>127893</v>
      </c>
      <c r="U25" s="21"/>
      <c r="V25" s="21">
        <v>1401</v>
      </c>
      <c r="W25" s="21">
        <v>1672</v>
      </c>
      <c r="X25" s="21">
        <v>2147</v>
      </c>
      <c r="Y25" s="21"/>
      <c r="Z25" s="22">
        <f t="shared" si="3"/>
        <v>0.14834815756035577</v>
      </c>
      <c r="AA25" s="22">
        <f t="shared" si="4"/>
        <v>0.1400804289544236</v>
      </c>
      <c r="AB25" s="22">
        <f t="shared" si="5"/>
        <v>0.15442710206430266</v>
      </c>
      <c r="AC25" s="21"/>
      <c r="AD25" s="21">
        <v>981</v>
      </c>
      <c r="AE25" s="21">
        <v>1125</v>
      </c>
      <c r="AF25" s="21">
        <v>1472</v>
      </c>
      <c r="AG25" s="21"/>
      <c r="AH25" s="22">
        <f t="shared" si="6"/>
        <v>0.10387547649301143</v>
      </c>
      <c r="AI25" s="22">
        <f t="shared" si="7"/>
        <v>9.4252680965147453E-2</v>
      </c>
      <c r="AJ25" s="22">
        <f t="shared" si="8"/>
        <v>0.10587642954757966</v>
      </c>
      <c r="AK25" s="4"/>
      <c r="AL25" s="12">
        <f>$N25/P25</f>
        <v>1.9929927996611605</v>
      </c>
      <c r="AM25" s="12">
        <f>$N25/Q25</f>
        <v>1.5768954423592494</v>
      </c>
      <c r="AN25" s="12">
        <f>$N25/R25</f>
        <v>1.353795871394663</v>
      </c>
      <c r="AO25" s="12"/>
      <c r="AP25" s="12">
        <f>T25/R25</f>
        <v>9.1989498669351946</v>
      </c>
      <c r="AQ25" s="4"/>
      <c r="AR25" s="12">
        <f>$N25/V25</f>
        <v>13.434563882940758</v>
      </c>
      <c r="AS25" s="12">
        <f>$N25/W25</f>
        <v>11.257071770334928</v>
      </c>
      <c r="AT25" s="12">
        <f>$N25/X25</f>
        <v>8.7665691662785292</v>
      </c>
      <c r="AU25" s="4"/>
      <c r="AV25" s="12">
        <f>$J25/AD25</f>
        <v>27.182287461773701</v>
      </c>
      <c r="AW25" s="12">
        <f>$J25/AE25</f>
        <v>23.702954666666667</v>
      </c>
      <c r="AX25" s="12">
        <f>$J25/AF25</f>
        <v>18.115369565217392</v>
      </c>
    </row>
    <row r="26" spans="2:50" x14ac:dyDescent="0.2">
      <c r="B26" t="s">
        <v>18</v>
      </c>
      <c r="C26" t="s">
        <v>27</v>
      </c>
      <c r="D26" t="s">
        <v>45</v>
      </c>
      <c r="E26" s="8" t="s">
        <v>63</v>
      </c>
      <c r="F26" t="s">
        <v>30</v>
      </c>
      <c r="G26" t="s">
        <v>37</v>
      </c>
      <c r="H26" s="3">
        <v>317</v>
      </c>
      <c r="I26">
        <v>78.53</v>
      </c>
      <c r="J26" s="15">
        <f t="shared" si="0"/>
        <v>24894.010000000002</v>
      </c>
      <c r="K26" s="15">
        <v>17535</v>
      </c>
      <c r="L26" s="15">
        <v>1457</v>
      </c>
      <c r="M26" s="15">
        <f t="shared" si="1"/>
        <v>16078</v>
      </c>
      <c r="N26" s="15">
        <f t="shared" si="2"/>
        <v>40972.01</v>
      </c>
      <c r="O26" s="15"/>
      <c r="P26" s="13">
        <v>6949</v>
      </c>
      <c r="Q26" s="13">
        <v>4804</v>
      </c>
      <c r="R26" s="13">
        <v>6002</v>
      </c>
      <c r="S26" s="13"/>
      <c r="T26" s="13">
        <v>38500</v>
      </c>
      <c r="U26" s="13"/>
      <c r="V26" s="13">
        <v>817</v>
      </c>
      <c r="W26" s="13">
        <v>575</v>
      </c>
      <c r="X26" s="13">
        <v>575</v>
      </c>
      <c r="Y26" s="13"/>
      <c r="Z26" s="22">
        <f t="shared" si="3"/>
        <v>0.11757087350697942</v>
      </c>
      <c r="AA26" s="22">
        <f t="shared" si="4"/>
        <v>0.11969192339716903</v>
      </c>
      <c r="AB26" s="22">
        <f t="shared" si="5"/>
        <v>9.5801399533488832E-2</v>
      </c>
      <c r="AC26" s="13"/>
      <c r="AD26" s="13">
        <v>716.22500000000002</v>
      </c>
      <c r="AE26" s="13">
        <v>693.39300000000003</v>
      </c>
      <c r="AF26" s="13">
        <v>931</v>
      </c>
      <c r="AG26" s="13"/>
      <c r="AH26" s="22">
        <f t="shared" si="6"/>
        <v>0.10306878687580948</v>
      </c>
      <c r="AI26" s="22">
        <f t="shared" si="7"/>
        <v>0.14433659450457953</v>
      </c>
      <c r="AJ26" s="22">
        <f t="shared" si="8"/>
        <v>0.15511496167944019</v>
      </c>
      <c r="AK26" s="4"/>
      <c r="AL26" s="12">
        <f>$N26/P26</f>
        <v>5.8961015973521373</v>
      </c>
      <c r="AM26" s="12">
        <f>$N26/Q26</f>
        <v>8.5287281432139892</v>
      </c>
      <c r="AN26" s="12">
        <f>$N26/R26</f>
        <v>6.8263928690436524</v>
      </c>
      <c r="AO26" s="12"/>
      <c r="AP26" s="12">
        <f>T26/R26</f>
        <v>6.4145284905031659</v>
      </c>
      <c r="AQ26" s="4"/>
      <c r="AR26" s="12">
        <f>$N26/V26</f>
        <v>50.14933904528764</v>
      </c>
      <c r="AS26" s="12">
        <f>$N26/W26</f>
        <v>71.255669565217389</v>
      </c>
      <c r="AT26" s="12">
        <f>$N26/X26</f>
        <v>71.255669565217389</v>
      </c>
      <c r="AU26" s="4"/>
      <c r="AV26" s="12">
        <f>$J26/AD26</f>
        <v>34.757248071485918</v>
      </c>
      <c r="AW26" s="12">
        <f>$J26/AE26</f>
        <v>35.901732495136237</v>
      </c>
      <c r="AX26" s="12">
        <f>$J26/AF26</f>
        <v>26.739001074113858</v>
      </c>
    </row>
    <row r="27" spans="2:50" x14ac:dyDescent="0.2">
      <c r="E27" s="8"/>
      <c r="H27" s="52"/>
      <c r="J27" s="15"/>
      <c r="K27" s="15"/>
      <c r="L27" s="15"/>
      <c r="M27" s="15"/>
      <c r="N27" s="15"/>
      <c r="O27" s="15"/>
      <c r="P27" s="13"/>
      <c r="Q27" s="13"/>
      <c r="R27" s="13"/>
      <c r="S27" s="13"/>
      <c r="T27" s="13"/>
      <c r="U27" s="13"/>
      <c r="V27" s="13"/>
      <c r="W27" s="13"/>
      <c r="X27" s="13"/>
      <c r="Y27" s="13"/>
      <c r="Z27" s="22"/>
      <c r="AA27" s="22"/>
      <c r="AB27" s="22"/>
      <c r="AC27" s="13"/>
      <c r="AD27" s="13"/>
      <c r="AE27" s="13"/>
      <c r="AF27" s="13"/>
      <c r="AG27" s="13"/>
      <c r="AH27" s="22"/>
      <c r="AI27" s="22"/>
      <c r="AJ27" s="22"/>
      <c r="AK27" s="4"/>
      <c r="AL27" s="12"/>
      <c r="AM27" s="12"/>
      <c r="AN27" s="12"/>
      <c r="AO27" s="12"/>
      <c r="AP27" s="12"/>
      <c r="AQ27" s="4"/>
      <c r="AR27" s="12"/>
      <c r="AS27" s="12"/>
      <c r="AT27" s="12"/>
      <c r="AU27" s="4"/>
      <c r="AV27" s="12"/>
      <c r="AW27" s="12"/>
      <c r="AX27" s="12"/>
    </row>
    <row r="28" spans="2:50" x14ac:dyDescent="0.2">
      <c r="B28" s="59"/>
      <c r="E28" s="8"/>
      <c r="H28" s="52"/>
      <c r="J28" s="15"/>
      <c r="K28" s="15"/>
      <c r="L28" s="15"/>
      <c r="M28" s="15"/>
      <c r="N28" s="15"/>
      <c r="O28" s="15"/>
      <c r="P28" s="13"/>
      <c r="Q28" s="13"/>
      <c r="R28" s="13"/>
      <c r="S28" s="13"/>
      <c r="T28" s="13"/>
      <c r="U28" s="13"/>
      <c r="V28" s="13"/>
      <c r="W28" s="13"/>
      <c r="X28" s="13"/>
      <c r="Y28" s="13"/>
      <c r="Z28" s="38" t="s">
        <v>55</v>
      </c>
      <c r="AA28" s="39"/>
      <c r="AB28" s="39"/>
      <c r="AC28" s="49"/>
      <c r="AD28" s="49"/>
      <c r="AE28" s="49"/>
      <c r="AF28" s="49"/>
      <c r="AG28" s="49"/>
      <c r="AH28" s="39"/>
      <c r="AI28" s="39"/>
      <c r="AJ28" s="39"/>
      <c r="AK28" s="49"/>
      <c r="AL28" s="39"/>
      <c r="AM28" s="39"/>
      <c r="AN28" s="39"/>
      <c r="AO28" s="39"/>
      <c r="AP28" s="39"/>
      <c r="AQ28" s="39"/>
      <c r="AR28" s="39"/>
      <c r="AS28" s="39"/>
      <c r="AT28" s="39"/>
      <c r="AU28" s="39"/>
      <c r="AV28" s="39"/>
      <c r="AW28" s="39"/>
      <c r="AX28" s="40"/>
    </row>
    <row r="29" spans="2:50" x14ac:dyDescent="0.2">
      <c r="E29" s="8"/>
      <c r="H29" s="52"/>
      <c r="J29" s="15"/>
      <c r="K29" s="15"/>
      <c r="L29" s="15"/>
      <c r="M29" s="15"/>
      <c r="N29" s="15"/>
      <c r="O29" s="15"/>
      <c r="P29" s="13"/>
      <c r="Q29" s="13"/>
      <c r="R29" s="13"/>
      <c r="S29" s="13"/>
      <c r="T29" s="13"/>
      <c r="U29" s="13"/>
      <c r="V29" s="13"/>
      <c r="W29" s="13"/>
      <c r="X29" s="13"/>
      <c r="Y29" s="13"/>
      <c r="Z29" s="41">
        <f>AVERAGE(Z19:Z26)</f>
        <v>0.11610960133504045</v>
      </c>
      <c r="AA29" s="25">
        <f>AVERAGE(AA19:AA26)</f>
        <v>0.11981356465173298</v>
      </c>
      <c r="AB29" s="25">
        <f>AVERAGE(AB19:AB26)</f>
        <v>0.11713542083917461</v>
      </c>
      <c r="AH29" s="25">
        <f>AVERAGE(AH19:AH26)</f>
        <v>7.6402256533652332E-2</v>
      </c>
      <c r="AI29" s="25">
        <f>AVERAGE(AI19:AI26)</f>
        <v>7.6972840200612611E-2</v>
      </c>
      <c r="AJ29" s="25">
        <f>AVERAGE(AJ19:AJ26)</f>
        <v>8.5279736409998932E-2</v>
      </c>
      <c r="AL29" s="12">
        <f>AVERAGE(AL19:AL26)</f>
        <v>4.4719207911323338</v>
      </c>
      <c r="AM29" s="12">
        <f>AVERAGE(AM19:AM26)</f>
        <v>4.3598860341950125</v>
      </c>
      <c r="AN29" s="12">
        <f>AVERAGE(AN19:AN26)</f>
        <v>3.6599502044892414</v>
      </c>
      <c r="AO29" s="12"/>
      <c r="AP29" s="12">
        <f>AVERAGE(AP19:AP26)</f>
        <v>4.7671084649824031</v>
      </c>
      <c r="AQ29" s="12"/>
      <c r="AR29" s="12">
        <f>AVERAGE(AR19:AR26)</f>
        <v>38.310025064780412</v>
      </c>
      <c r="AS29" s="12">
        <f>AVERAGE(AS19:AS26)</f>
        <v>35.504875058154731</v>
      </c>
      <c r="AT29" s="12">
        <f>AVERAGE(AT19:AT26)</f>
        <v>32.834139686525397</v>
      </c>
      <c r="AU29" s="12"/>
      <c r="AV29" s="12">
        <f>AVERAGE(AV19:AV26)</f>
        <v>52.603679814006398</v>
      </c>
      <c r="AW29" s="12">
        <f>AVERAGE(AW19:AW26)</f>
        <v>48.88352011591968</v>
      </c>
      <c r="AX29" s="45">
        <f>AVERAGE(AX19:AX26)</f>
        <v>39.287924176449067</v>
      </c>
    </row>
    <row r="30" spans="2:50" x14ac:dyDescent="0.2">
      <c r="E30" s="8"/>
      <c r="H30" s="52"/>
      <c r="J30" s="15"/>
      <c r="K30" s="15"/>
      <c r="L30" s="15"/>
      <c r="M30" s="15"/>
      <c r="N30" s="15"/>
      <c r="O30" s="15"/>
      <c r="P30" s="13"/>
      <c r="Q30" s="13"/>
      <c r="R30" s="13"/>
      <c r="S30" s="13"/>
      <c r="T30" s="13"/>
      <c r="U30" s="13"/>
      <c r="V30" s="13"/>
      <c r="W30" s="13"/>
      <c r="X30" s="13"/>
      <c r="Y30" s="13"/>
      <c r="Z30" s="42" t="s">
        <v>54</v>
      </c>
      <c r="AA30" s="37"/>
      <c r="AB30" s="37"/>
      <c r="AH30" s="37"/>
      <c r="AI30" s="37"/>
      <c r="AJ30" s="37"/>
      <c r="AL30" s="37"/>
      <c r="AM30" s="24"/>
      <c r="AN30" s="24"/>
      <c r="AO30" s="24"/>
      <c r="AP30" s="24"/>
      <c r="AQ30" s="24"/>
      <c r="AR30" s="24"/>
      <c r="AS30" s="24"/>
      <c r="AT30" s="24"/>
      <c r="AU30" s="24"/>
      <c r="AV30" s="24"/>
      <c r="AW30" s="24"/>
      <c r="AX30" s="46"/>
    </row>
    <row r="31" spans="2:50" x14ac:dyDescent="0.2">
      <c r="E31" s="8"/>
      <c r="H31" s="52"/>
      <c r="J31" s="15"/>
      <c r="K31" s="15"/>
      <c r="L31" s="15"/>
      <c r="M31" s="15"/>
      <c r="N31" s="15"/>
      <c r="O31" s="15"/>
      <c r="P31" s="13"/>
      <c r="Q31" s="13"/>
      <c r="R31" s="13"/>
      <c r="S31" s="13"/>
      <c r="T31" s="13"/>
      <c r="U31" s="13"/>
      <c r="V31" s="13"/>
      <c r="W31" s="13"/>
      <c r="X31" s="13"/>
      <c r="Y31" s="13"/>
      <c r="Z31" s="43">
        <f>MEDIAN(Z19:Z26)</f>
        <v>0.12307387173896797</v>
      </c>
      <c r="AA31" s="44">
        <f>MEDIAN(AA19:AA26)</f>
        <v>0.12338139156546819</v>
      </c>
      <c r="AB31" s="44">
        <f>MEDIAN(AB19:AB26)</f>
        <v>0.11745503481585307</v>
      </c>
      <c r="AC31" s="50"/>
      <c r="AD31" s="50"/>
      <c r="AE31" s="50"/>
      <c r="AF31" s="50"/>
      <c r="AG31" s="50"/>
      <c r="AH31" s="44">
        <f>MEDIAN(AH19:AH26)</f>
        <v>7.2165691726115339E-2</v>
      </c>
      <c r="AI31" s="44">
        <f>MEDIAN(AI19:AI26)</f>
        <v>7.0633619651390811E-2</v>
      </c>
      <c r="AJ31" s="44">
        <f>MEDIAN(AJ19:AJ26)</f>
        <v>7.1790413174620038E-2</v>
      </c>
      <c r="AK31" s="50"/>
      <c r="AL31" s="51">
        <f>MEDIAN(AL21:AL28)</f>
        <v>4.5394193922873249</v>
      </c>
      <c r="AM31" s="47">
        <f>MEDIAN(AM21:AM28)</f>
        <v>4.0268306586922229</v>
      </c>
      <c r="AN31" s="47">
        <f>MEDIAN(AN21:AN28)</f>
        <v>3.4366659297057827</v>
      </c>
      <c r="AO31" s="47"/>
      <c r="AP31" s="47">
        <f>MEDIAN(AP21:AP28)</f>
        <v>3.6375519547263613</v>
      </c>
      <c r="AQ31" s="47"/>
      <c r="AR31" s="47">
        <f>MEDIAN(AR21:AR28)</f>
        <v>43.244531643435295</v>
      </c>
      <c r="AS31" s="47">
        <f>MEDIAN(AS21:AS28)</f>
        <v>31.332194581453788</v>
      </c>
      <c r="AT31" s="47">
        <f>MEDIAN(AT21:AT28)</f>
        <v>27.415168713534385</v>
      </c>
      <c r="AU31" s="47"/>
      <c r="AV31" s="47">
        <f>MEDIAN(AV21:AV28)</f>
        <v>40.380810364495417</v>
      </c>
      <c r="AW31" s="47">
        <f>MEDIAN(AW21:AW28)</f>
        <v>47.119817197992504</v>
      </c>
      <c r="AX31" s="48">
        <f>MEDIAN(AX21:AX28)</f>
        <v>27.194279851896027</v>
      </c>
    </row>
    <row r="32" spans="2:50" x14ac:dyDescent="0.2">
      <c r="E32" s="8"/>
      <c r="H32" s="52"/>
      <c r="J32" s="15"/>
      <c r="K32" s="15"/>
      <c r="L32" s="15"/>
      <c r="M32" s="15"/>
      <c r="N32" s="15"/>
      <c r="O32" s="15"/>
      <c r="P32" s="13"/>
      <c r="Q32" s="13"/>
      <c r="R32" s="13"/>
      <c r="S32" s="13"/>
      <c r="T32" s="13"/>
      <c r="U32" s="13"/>
      <c r="V32" s="13"/>
      <c r="W32" s="13"/>
      <c r="X32" s="13"/>
      <c r="Y32" s="13"/>
      <c r="Z32" s="22"/>
      <c r="AA32" s="22"/>
      <c r="AB32" s="22"/>
      <c r="AC32" s="13"/>
      <c r="AD32" s="13"/>
      <c r="AE32" s="13"/>
      <c r="AF32" s="13"/>
      <c r="AG32" s="13"/>
      <c r="AH32" s="22"/>
      <c r="AI32" s="22"/>
      <c r="AJ32" s="22"/>
      <c r="AK32" s="4"/>
      <c r="AL32" s="12"/>
      <c r="AM32" s="12"/>
      <c r="AN32" s="12"/>
      <c r="AO32" s="12"/>
      <c r="AP32" s="12"/>
      <c r="AQ32" s="4"/>
      <c r="AR32" s="12"/>
      <c r="AS32" s="12"/>
      <c r="AT32" s="12"/>
      <c r="AU32" s="4"/>
      <c r="AV32" s="12"/>
      <c r="AW32" s="12"/>
      <c r="AX32" s="12"/>
    </row>
    <row r="33" spans="2:50" x14ac:dyDescent="0.2">
      <c r="B33" s="26" t="s">
        <v>67</v>
      </c>
      <c r="C33" s="27"/>
      <c r="D33" s="27"/>
      <c r="E33" s="36"/>
      <c r="F33" s="27"/>
      <c r="G33" s="27"/>
      <c r="H33" s="53"/>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row>
    <row r="34" spans="2:50" x14ac:dyDescent="0.2">
      <c r="B34" s="60" t="s">
        <v>89</v>
      </c>
      <c r="C34" s="27"/>
      <c r="D34" s="27"/>
      <c r="E34" s="36"/>
      <c r="F34" s="27"/>
      <c r="G34" s="27"/>
      <c r="H34" s="53"/>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row>
    <row r="35" spans="2:50" x14ac:dyDescent="0.2">
      <c r="B35" t="s">
        <v>19</v>
      </c>
      <c r="C35" t="s">
        <v>29</v>
      </c>
      <c r="D35" t="s">
        <v>45</v>
      </c>
      <c r="E35" s="8" t="s">
        <v>65</v>
      </c>
      <c r="F35" t="s">
        <v>35</v>
      </c>
      <c r="G35" t="s">
        <v>37</v>
      </c>
      <c r="H35" s="55">
        <v>72.3</v>
      </c>
      <c r="I35" s="14">
        <v>118.04</v>
      </c>
      <c r="J35" s="15">
        <f t="shared" ref="J35" si="9">H35*I35</f>
        <v>8534.2919999999995</v>
      </c>
      <c r="K35" s="15">
        <v>4696</v>
      </c>
      <c r="L35" s="15">
        <v>733</v>
      </c>
      <c r="M35" s="15">
        <f t="shared" ref="M35" si="10">K35-L35</f>
        <v>3963</v>
      </c>
      <c r="N35" s="15">
        <f t="shared" ref="N35" si="11">J35+M35</f>
        <v>12497.291999999999</v>
      </c>
      <c r="O35" s="15"/>
      <c r="P35" s="13">
        <v>1707</v>
      </c>
      <c r="Q35" s="13">
        <v>1847</v>
      </c>
      <c r="R35" s="13">
        <v>2240</v>
      </c>
      <c r="S35" s="13"/>
      <c r="T35" s="13">
        <v>6644</v>
      </c>
      <c r="U35" s="13"/>
      <c r="V35" s="13">
        <v>292</v>
      </c>
      <c r="W35" s="13">
        <v>329</v>
      </c>
      <c r="X35" s="13">
        <v>405</v>
      </c>
      <c r="Y35" s="13"/>
      <c r="Z35" s="22">
        <f t="shared" ref="Z35" si="12">V35/P35</f>
        <v>0.17106033977738722</v>
      </c>
      <c r="AA35" s="22">
        <f t="shared" ref="AA35" si="13">W35/Q35</f>
        <v>0.1781266919328641</v>
      </c>
      <c r="AB35" s="22">
        <f t="shared" ref="AB35" si="14">X35/R35</f>
        <v>0.18080357142857142</v>
      </c>
      <c r="AC35" s="13"/>
      <c r="AD35" s="13">
        <v>80</v>
      </c>
      <c r="AE35" s="13">
        <v>58</v>
      </c>
      <c r="AF35" s="13">
        <v>106</v>
      </c>
      <c r="AG35" s="13"/>
      <c r="AH35" s="22">
        <f t="shared" ref="AH35" si="15">AD35/P35</f>
        <v>4.6865846514352667E-2</v>
      </c>
      <c r="AI35" s="22">
        <f t="shared" ref="AI35" si="16">AE35/Q35</f>
        <v>3.1402273957769358E-2</v>
      </c>
      <c r="AJ35" s="22">
        <f t="shared" ref="AJ35" si="17">AF35/R35</f>
        <v>4.732142857142857E-2</v>
      </c>
      <c r="AK35" s="4"/>
      <c r="AL35" s="12">
        <f>$N35/P35</f>
        <v>7.3212021089630932</v>
      </c>
      <c r="AM35" s="12">
        <f>$N35/Q35</f>
        <v>6.766265295073091</v>
      </c>
      <c r="AN35" s="12">
        <f>$N35/R35</f>
        <v>5.5791482142857136</v>
      </c>
      <c r="AO35" s="12"/>
      <c r="AP35" s="12">
        <f>T35/R35</f>
        <v>2.9660714285714285</v>
      </c>
      <c r="AQ35" s="4"/>
      <c r="AR35" s="12">
        <f>$N35/V35</f>
        <v>42.798945205479448</v>
      </c>
      <c r="AS35" s="12">
        <f>$N35/W35</f>
        <v>37.985689969604863</v>
      </c>
      <c r="AT35" s="12">
        <f>$N35/X35</f>
        <v>30.857511111111108</v>
      </c>
      <c r="AU35" s="4"/>
      <c r="AV35" s="12">
        <f>$J35/AD35</f>
        <v>106.67864999999999</v>
      </c>
      <c r="AW35" s="12">
        <f>$J35/AE35</f>
        <v>147.14296551724138</v>
      </c>
      <c r="AX35" s="12">
        <f>$J35/AF35</f>
        <v>80.512188679245284</v>
      </c>
    </row>
    <row r="36" spans="2:50" x14ac:dyDescent="0.2">
      <c r="B36" t="s">
        <v>14</v>
      </c>
      <c r="C36" t="s">
        <v>22</v>
      </c>
      <c r="D36" t="s">
        <v>45</v>
      </c>
      <c r="E36" t="s">
        <v>60</v>
      </c>
      <c r="F36" t="s">
        <v>30</v>
      </c>
      <c r="G36" t="s">
        <v>37</v>
      </c>
      <c r="H36" s="55">
        <v>250</v>
      </c>
      <c r="I36">
        <v>206.21</v>
      </c>
      <c r="J36" s="15">
        <f>H36*I36</f>
        <v>51552.5</v>
      </c>
      <c r="K36" s="15">
        <v>8443.6</v>
      </c>
      <c r="L36" s="15">
        <v>4080.5</v>
      </c>
      <c r="M36" s="15">
        <f>K36-L36</f>
        <v>4363.1000000000004</v>
      </c>
      <c r="N36" s="15">
        <f>J36+M36</f>
        <v>55915.6</v>
      </c>
      <c r="O36" s="15"/>
      <c r="P36" s="13">
        <v>17568.400000000001</v>
      </c>
      <c r="Q36" s="13">
        <v>18428.8</v>
      </c>
      <c r="R36" s="13">
        <v>19900</v>
      </c>
      <c r="S36" s="13"/>
      <c r="T36" s="13">
        <v>46958</v>
      </c>
      <c r="U36" s="13"/>
      <c r="V36" s="13">
        <v>1451.4</v>
      </c>
      <c r="W36" s="13">
        <v>2456.3000000000002</v>
      </c>
      <c r="X36" s="13">
        <v>2330</v>
      </c>
      <c r="Y36" s="13"/>
      <c r="Z36" s="22">
        <f t="shared" ref="Z36:AB38" si="18">V36/P36</f>
        <v>8.2614239202203954E-2</v>
      </c>
      <c r="AA36" s="22">
        <f t="shared" si="18"/>
        <v>0.1332859437402327</v>
      </c>
      <c r="AB36" s="22">
        <f t="shared" si="18"/>
        <v>0.11708542713567839</v>
      </c>
      <c r="AC36" s="13"/>
      <c r="AD36" s="13">
        <v>1120.5999999999999</v>
      </c>
      <c r="AE36" s="13">
        <v>1023.4</v>
      </c>
      <c r="AF36" s="13">
        <v>1900</v>
      </c>
      <c r="AG36" s="13"/>
      <c r="AH36" s="22">
        <f t="shared" ref="AH36:AJ38" si="19">AD36/P36</f>
        <v>6.3784977573370358E-2</v>
      </c>
      <c r="AI36" s="22">
        <f t="shared" si="19"/>
        <v>5.5532644556346586E-2</v>
      </c>
      <c r="AJ36" s="22">
        <f t="shared" si="19"/>
        <v>9.5477386934673364E-2</v>
      </c>
      <c r="AK36" s="3"/>
      <c r="AL36" s="12">
        <f>$N36/P36</f>
        <v>3.182737187222513</v>
      </c>
      <c r="AM36" s="12">
        <f>$N36/Q36</f>
        <v>3.0341422121896162</v>
      </c>
      <c r="AN36" s="12">
        <f>$N36/R36</f>
        <v>2.8098291457286431</v>
      </c>
      <c r="AO36" s="12"/>
      <c r="AP36" s="12">
        <f>T36/R36</f>
        <v>2.3596984924623117</v>
      </c>
      <c r="AQ36" s="4"/>
      <c r="AR36" s="12">
        <f>$N36/V36</f>
        <v>38.525285930825405</v>
      </c>
      <c r="AS36" s="12">
        <f>$N36/W36</f>
        <v>22.76415747262142</v>
      </c>
      <c r="AT36" s="12">
        <f>$N36/X36</f>
        <v>23.998111587982834</v>
      </c>
      <c r="AU36" s="4"/>
      <c r="AV36" s="12">
        <f>$J36/AD36</f>
        <v>46.004372657504909</v>
      </c>
      <c r="AW36" s="12">
        <f>$J36/AE36</f>
        <v>50.373754152823921</v>
      </c>
      <c r="AX36" s="12">
        <f>$J36/AF36</f>
        <v>27.132894736842104</v>
      </c>
    </row>
    <row r="37" spans="2:50" x14ac:dyDescent="0.2">
      <c r="B37" t="s">
        <v>17</v>
      </c>
      <c r="C37" t="s">
        <v>26</v>
      </c>
      <c r="D37" t="s">
        <v>45</v>
      </c>
      <c r="E37" s="8" t="s">
        <v>62</v>
      </c>
      <c r="F37" t="s">
        <v>34</v>
      </c>
      <c r="G37" t="s">
        <v>37</v>
      </c>
      <c r="H37" s="55">
        <v>47.2</v>
      </c>
      <c r="I37">
        <v>593.66</v>
      </c>
      <c r="J37" s="15">
        <f>H37*I37</f>
        <v>28020.752</v>
      </c>
      <c r="K37" s="15">
        <v>4929</v>
      </c>
      <c r="L37" s="15">
        <v>2500</v>
      </c>
      <c r="M37" s="15">
        <f>K37-L37</f>
        <v>2429</v>
      </c>
      <c r="N37" s="15">
        <f>J37+M37</f>
        <v>30449.752</v>
      </c>
      <c r="O37" s="15"/>
      <c r="P37" s="13">
        <v>14700</v>
      </c>
      <c r="Q37" s="13">
        <v>16000</v>
      </c>
      <c r="R37" s="13">
        <v>17800</v>
      </c>
      <c r="S37" s="13"/>
      <c r="T37" s="13">
        <v>15100</v>
      </c>
      <c r="U37" s="13"/>
      <c r="V37" s="13">
        <v>1218</v>
      </c>
      <c r="W37" s="13">
        <v>1351</v>
      </c>
      <c r="X37" s="13">
        <v>1525</v>
      </c>
      <c r="Y37" s="13"/>
      <c r="Z37" s="22">
        <f t="shared" si="18"/>
        <v>8.2857142857142851E-2</v>
      </c>
      <c r="AA37" s="22">
        <f t="shared" si="18"/>
        <v>8.4437499999999999E-2</v>
      </c>
      <c r="AB37" s="22">
        <f t="shared" si="18"/>
        <v>8.5674157303370788E-2</v>
      </c>
      <c r="AC37" s="13"/>
      <c r="AD37" s="13">
        <v>927</v>
      </c>
      <c r="AE37" s="13">
        <v>658</v>
      </c>
      <c r="AF37" s="13">
        <v>1059</v>
      </c>
      <c r="AG37" s="13"/>
      <c r="AH37" s="22">
        <f t="shared" si="19"/>
        <v>6.3061224489795925E-2</v>
      </c>
      <c r="AI37" s="22">
        <f t="shared" si="19"/>
        <v>4.1125000000000002E-2</v>
      </c>
      <c r="AJ37" s="22">
        <f t="shared" si="19"/>
        <v>5.9494382022471912E-2</v>
      </c>
      <c r="AK37" s="4"/>
      <c r="AL37" s="12">
        <f>$N37/P37</f>
        <v>2.0714117006802719</v>
      </c>
      <c r="AM37" s="12">
        <f>$N37/Q37</f>
        <v>1.9031095</v>
      </c>
      <c r="AN37" s="12">
        <f>$N37/R37</f>
        <v>1.7106602247191012</v>
      </c>
      <c r="AO37" s="12"/>
      <c r="AP37" s="12">
        <f>T37/R37</f>
        <v>0.848314606741573</v>
      </c>
      <c r="AQ37" s="4"/>
      <c r="AR37" s="12">
        <f>$N37/V37</f>
        <v>24.999796387520526</v>
      </c>
      <c r="AS37" s="12">
        <f>$N37/W37</f>
        <v>22.538676535899334</v>
      </c>
      <c r="AT37" s="12">
        <f>$N37/X37</f>
        <v>19.967050491803278</v>
      </c>
      <c r="AU37" s="4"/>
      <c r="AV37" s="12">
        <f>$J37/AD37</f>
        <v>30.227348435814456</v>
      </c>
      <c r="AW37" s="12">
        <f>$J37/AE37</f>
        <v>42.584729483282672</v>
      </c>
      <c r="AX37" s="12">
        <f>$J37/AF37</f>
        <v>26.459633616619453</v>
      </c>
    </row>
    <row r="38" spans="2:50" x14ac:dyDescent="0.2">
      <c r="B38" t="s">
        <v>20</v>
      </c>
      <c r="C38" t="s">
        <v>28</v>
      </c>
      <c r="D38" t="s">
        <v>45</v>
      </c>
      <c r="E38" s="8" t="s">
        <v>64</v>
      </c>
      <c r="F38" t="s">
        <v>32</v>
      </c>
      <c r="G38" t="s">
        <v>38</v>
      </c>
      <c r="H38" s="56">
        <v>16.57</v>
      </c>
      <c r="I38" s="2">
        <v>3070</v>
      </c>
      <c r="J38" s="18">
        <f>H38*I38</f>
        <v>50869.9</v>
      </c>
      <c r="K38" s="18">
        <v>26356</v>
      </c>
      <c r="L38" s="18">
        <v>3378</v>
      </c>
      <c r="M38" s="15">
        <f>K38-L38</f>
        <v>22978</v>
      </c>
      <c r="N38" s="18">
        <f>J38+M38</f>
        <v>73847.899999999994</v>
      </c>
      <c r="O38" s="18"/>
      <c r="P38" s="18">
        <v>21258</v>
      </c>
      <c r="Q38" s="18">
        <v>23078</v>
      </c>
      <c r="R38" s="18">
        <v>26321</v>
      </c>
      <c r="S38" s="18"/>
      <c r="T38" s="18">
        <v>77800</v>
      </c>
      <c r="U38" s="18"/>
      <c r="V38" s="18">
        <f>2384-767</f>
        <v>1617</v>
      </c>
      <c r="W38" s="18">
        <f>2573-787</f>
        <v>1786</v>
      </c>
      <c r="X38" s="18">
        <f>2685-1097</f>
        <v>1588</v>
      </c>
      <c r="Y38" s="18"/>
      <c r="Z38" s="22">
        <f>V38/P38</f>
        <v>7.6065481230595547E-2</v>
      </c>
      <c r="AA38" s="22">
        <f t="shared" si="18"/>
        <v>7.7389721812982065E-2</v>
      </c>
      <c r="AB38" s="22">
        <f t="shared" si="18"/>
        <v>6.0332054253257855E-2</v>
      </c>
      <c r="AC38" s="18"/>
      <c r="AD38" s="18">
        <v>1674</v>
      </c>
      <c r="AE38" s="18">
        <v>1940</v>
      </c>
      <c r="AF38" s="18">
        <v>2041</v>
      </c>
      <c r="AG38" s="18"/>
      <c r="AH38" s="22">
        <f>AD38/P38</f>
        <v>7.8746824724809483E-2</v>
      </c>
      <c r="AI38" s="22">
        <f t="shared" si="19"/>
        <v>8.4062743738625531E-2</v>
      </c>
      <c r="AJ38" s="22">
        <f t="shared" si="19"/>
        <v>7.754264655598192E-2</v>
      </c>
      <c r="AK38" s="4"/>
      <c r="AL38" s="12">
        <f>$N38/P38</f>
        <v>3.4738874776554707</v>
      </c>
      <c r="AM38" s="12">
        <f>$N38/Q38</f>
        <v>3.1999263367709503</v>
      </c>
      <c r="AN38" s="12">
        <f>$N38/R38</f>
        <v>2.8056646783936778</v>
      </c>
      <c r="AO38" s="12"/>
      <c r="AP38" s="12">
        <f>T38/R38</f>
        <v>2.9558147486797615</v>
      </c>
      <c r="AQ38" s="4"/>
      <c r="AR38" s="12">
        <f>$N38/V38</f>
        <v>45.669696969696965</v>
      </c>
      <c r="AS38" s="12">
        <f>$N38/W38</f>
        <v>41.348208286674129</v>
      </c>
      <c r="AT38" s="12">
        <f>$N38/X38</f>
        <v>46.503715365239294</v>
      </c>
      <c r="AU38" s="4"/>
      <c r="AV38" s="12">
        <f>$J38/AD38</f>
        <v>30.388231780167263</v>
      </c>
      <c r="AW38" s="12">
        <f>$J38/AE38</f>
        <v>26.221597938144331</v>
      </c>
      <c r="AX38" s="12">
        <f>$J38/AF38</f>
        <v>24.924007839294465</v>
      </c>
    </row>
    <row r="39" spans="2:50" x14ac:dyDescent="0.2">
      <c r="E39" s="8"/>
      <c r="H39" s="52"/>
      <c r="I39" s="2"/>
      <c r="J39" s="18"/>
      <c r="K39" s="18"/>
      <c r="L39" s="18"/>
      <c r="M39" s="15"/>
      <c r="N39" s="18"/>
      <c r="O39" s="18"/>
      <c r="P39" s="18"/>
      <c r="Q39" s="18"/>
      <c r="R39" s="18"/>
      <c r="S39" s="18"/>
      <c r="T39" s="18"/>
      <c r="U39" s="18"/>
      <c r="V39" s="18"/>
      <c r="W39" s="18"/>
      <c r="X39" s="18"/>
      <c r="Y39" s="18"/>
      <c r="Z39" s="22"/>
      <c r="AA39" s="22"/>
      <c r="AB39" s="22"/>
      <c r="AC39" s="18"/>
      <c r="AD39" s="18"/>
      <c r="AE39" s="18"/>
      <c r="AF39" s="18"/>
      <c r="AG39" s="18"/>
      <c r="AH39" s="22"/>
      <c r="AI39" s="22"/>
      <c r="AJ39" s="22"/>
      <c r="AK39" s="4"/>
      <c r="AL39" s="12"/>
      <c r="AM39" s="12"/>
      <c r="AN39" s="12"/>
      <c r="AO39" s="12"/>
      <c r="AP39" s="12"/>
      <c r="AQ39" s="4"/>
      <c r="AR39" s="12"/>
      <c r="AS39" s="12"/>
      <c r="AT39" s="12"/>
      <c r="AU39" s="4"/>
      <c r="AV39" s="12"/>
      <c r="AW39" s="12"/>
      <c r="AX39" s="12"/>
    </row>
    <row r="40" spans="2:50" x14ac:dyDescent="0.2">
      <c r="E40" s="8"/>
      <c r="H40" s="52"/>
      <c r="I40" s="2"/>
      <c r="J40" s="18"/>
      <c r="K40" s="18"/>
      <c r="L40" s="18"/>
      <c r="M40" s="15"/>
      <c r="N40" s="18"/>
      <c r="O40" s="18"/>
      <c r="P40" s="18"/>
      <c r="Q40" s="18"/>
      <c r="R40" s="18"/>
      <c r="S40" s="18"/>
      <c r="T40" s="18"/>
      <c r="U40" s="18"/>
      <c r="V40" s="18"/>
      <c r="W40" s="18"/>
      <c r="X40" s="18"/>
      <c r="Y40" s="18"/>
      <c r="Z40" s="38" t="s">
        <v>55</v>
      </c>
      <c r="AA40" s="39"/>
      <c r="AB40" s="39"/>
      <c r="AC40" s="49"/>
      <c r="AD40" s="49"/>
      <c r="AE40" s="49"/>
      <c r="AF40" s="49"/>
      <c r="AG40" s="49"/>
      <c r="AH40" s="39"/>
      <c r="AI40" s="39"/>
      <c r="AJ40" s="39"/>
      <c r="AK40" s="49"/>
      <c r="AL40" s="39"/>
      <c r="AM40" s="39"/>
      <c r="AN40" s="39"/>
      <c r="AO40" s="39"/>
      <c r="AP40" s="39"/>
      <c r="AQ40" s="39"/>
      <c r="AR40" s="39"/>
      <c r="AS40" s="39"/>
      <c r="AT40" s="39"/>
      <c r="AU40" s="39"/>
      <c r="AV40" s="39"/>
      <c r="AW40" s="39"/>
      <c r="AX40" s="40"/>
    </row>
    <row r="41" spans="2:50" x14ac:dyDescent="0.2">
      <c r="E41" s="8"/>
      <c r="H41" s="52"/>
      <c r="I41" s="2"/>
      <c r="J41" s="18"/>
      <c r="K41" s="18"/>
      <c r="L41" s="18"/>
      <c r="M41" s="15"/>
      <c r="N41" s="18"/>
      <c r="O41" s="18"/>
      <c r="P41" s="18"/>
      <c r="Q41" s="18"/>
      <c r="R41" s="18"/>
      <c r="S41" s="18"/>
      <c r="T41" s="18"/>
      <c r="U41" s="18"/>
      <c r="V41" s="18"/>
      <c r="W41" s="18"/>
      <c r="X41" s="18"/>
      <c r="Y41" s="18"/>
      <c r="Z41" s="41">
        <f>AVERAGE(Z35:Z38)</f>
        <v>0.10314930076683239</v>
      </c>
      <c r="AA41" s="25">
        <f t="shared" ref="AA41:AX41" si="20">AVERAGE(AA35:AA38)</f>
        <v>0.11830996437151972</v>
      </c>
      <c r="AB41" s="25">
        <f t="shared" si="20"/>
        <v>0.11097380253021963</v>
      </c>
      <c r="AH41" s="25">
        <f t="shared" si="20"/>
        <v>6.3114718325582103E-2</v>
      </c>
      <c r="AI41" s="25">
        <f t="shared" si="20"/>
        <v>5.3030665563185364E-2</v>
      </c>
      <c r="AJ41" s="25">
        <f t="shared" si="20"/>
        <v>6.9958961021138938E-2</v>
      </c>
      <c r="AL41" s="12">
        <f t="shared" si="20"/>
        <v>4.0123096186303373</v>
      </c>
      <c r="AM41" s="12">
        <f t="shared" si="20"/>
        <v>3.7258608360084144</v>
      </c>
      <c r="AN41" s="12">
        <f t="shared" si="20"/>
        <v>3.2263255657817838</v>
      </c>
      <c r="AO41" s="12"/>
      <c r="AP41" s="12">
        <f t="shared" si="20"/>
        <v>2.2824748191137685</v>
      </c>
      <c r="AQ41" s="12"/>
      <c r="AR41" s="12">
        <f t="shared" si="20"/>
        <v>37.998431123380584</v>
      </c>
      <c r="AS41" s="12">
        <f t="shared" si="20"/>
        <v>31.159183066199937</v>
      </c>
      <c r="AT41" s="12">
        <f t="shared" si="20"/>
        <v>30.33159713903413</v>
      </c>
      <c r="AU41" s="12"/>
      <c r="AV41" s="12">
        <f t="shared" si="20"/>
        <v>53.324650718371657</v>
      </c>
      <c r="AW41" s="12">
        <f t="shared" si="20"/>
        <v>66.580761772873075</v>
      </c>
      <c r="AX41" s="45">
        <f t="shared" si="20"/>
        <v>39.757181218000326</v>
      </c>
    </row>
    <row r="42" spans="2:50" x14ac:dyDescent="0.2">
      <c r="E42" s="8"/>
      <c r="H42" s="52"/>
      <c r="I42" s="2"/>
      <c r="J42" s="18"/>
      <c r="K42" s="18"/>
      <c r="L42" s="18"/>
      <c r="M42" s="15"/>
      <c r="N42" s="18"/>
      <c r="O42" s="18"/>
      <c r="P42" s="18"/>
      <c r="Q42" s="18"/>
      <c r="R42" s="18"/>
      <c r="S42" s="18"/>
      <c r="T42" s="18"/>
      <c r="U42" s="18"/>
      <c r="V42" s="18"/>
      <c r="W42" s="18"/>
      <c r="X42" s="18"/>
      <c r="Y42" s="18"/>
      <c r="Z42" s="42" t="s">
        <v>54</v>
      </c>
      <c r="AA42" s="37"/>
      <c r="AB42" s="37"/>
      <c r="AH42" s="37"/>
      <c r="AI42" s="37"/>
      <c r="AJ42" s="37"/>
      <c r="AL42" s="37"/>
      <c r="AM42" s="24"/>
      <c r="AN42" s="24"/>
      <c r="AO42" s="24"/>
      <c r="AP42" s="24"/>
      <c r="AQ42" s="24"/>
      <c r="AR42" s="24"/>
      <c r="AS42" s="24"/>
      <c r="AT42" s="24"/>
      <c r="AU42" s="24"/>
      <c r="AV42" s="24"/>
      <c r="AW42" s="24"/>
      <c r="AX42" s="46"/>
    </row>
    <row r="43" spans="2:50" x14ac:dyDescent="0.2">
      <c r="E43" s="8"/>
      <c r="H43" s="52"/>
      <c r="I43" s="2"/>
      <c r="J43" s="18"/>
      <c r="K43" s="18"/>
      <c r="L43" s="18"/>
      <c r="M43" s="15"/>
      <c r="N43" s="18"/>
      <c r="O43" s="18"/>
      <c r="P43" s="18"/>
      <c r="Q43" s="18"/>
      <c r="R43" s="18"/>
      <c r="S43" s="18"/>
      <c r="T43" s="18"/>
      <c r="U43" s="18"/>
      <c r="V43" s="18"/>
      <c r="W43" s="18"/>
      <c r="X43" s="18"/>
      <c r="Y43" s="18"/>
      <c r="Z43" s="43">
        <f>MEDIAN(Z35:Z38)</f>
        <v>8.2735691029673403E-2</v>
      </c>
      <c r="AA43" s="44">
        <f t="shared" ref="AA43:AX43" si="21">MEDIAN(AA35:AA38)</f>
        <v>0.10886172187011635</v>
      </c>
      <c r="AB43" s="44">
        <f t="shared" si="21"/>
        <v>0.10137979221952459</v>
      </c>
      <c r="AC43" s="50"/>
      <c r="AD43" s="50"/>
      <c r="AE43" s="50"/>
      <c r="AF43" s="50"/>
      <c r="AG43" s="50"/>
      <c r="AH43" s="44">
        <f t="shared" si="21"/>
        <v>6.3423101031583135E-2</v>
      </c>
      <c r="AI43" s="44">
        <f t="shared" si="21"/>
        <v>4.8328822278173297E-2</v>
      </c>
      <c r="AJ43" s="44">
        <f t="shared" si="21"/>
        <v>6.8518514289226923E-2</v>
      </c>
      <c r="AK43" s="50"/>
      <c r="AL43" s="51">
        <f t="shared" si="21"/>
        <v>3.3283123324389918</v>
      </c>
      <c r="AM43" s="47">
        <f t="shared" si="21"/>
        <v>3.1170342744802833</v>
      </c>
      <c r="AN43" s="47">
        <f t="shared" si="21"/>
        <v>2.8077469120611607</v>
      </c>
      <c r="AO43" s="47"/>
      <c r="AP43" s="47">
        <f t="shared" si="21"/>
        <v>2.6577566205710363</v>
      </c>
      <c r="AQ43" s="47"/>
      <c r="AR43" s="47">
        <f t="shared" si="21"/>
        <v>40.66211556815243</v>
      </c>
      <c r="AS43" s="47">
        <f t="shared" si="21"/>
        <v>30.374923721113142</v>
      </c>
      <c r="AT43" s="47">
        <f t="shared" si="21"/>
        <v>27.427811349546971</v>
      </c>
      <c r="AU43" s="47"/>
      <c r="AV43" s="47">
        <f>MEDIAN(AV35:AV38)</f>
        <v>38.196302218836088</v>
      </c>
      <c r="AW43" s="47">
        <f t="shared" si="21"/>
        <v>46.479241818053296</v>
      </c>
      <c r="AX43" s="48">
        <f t="shared" si="21"/>
        <v>26.79626417673078</v>
      </c>
    </row>
    <row r="44" spans="2:50" x14ac:dyDescent="0.2">
      <c r="D44" s="7"/>
      <c r="E44" s="7"/>
      <c r="F44" s="7"/>
      <c r="G44" s="7"/>
      <c r="H44" s="54"/>
      <c r="I44" s="7"/>
      <c r="J44" s="7"/>
      <c r="K44" s="7"/>
      <c r="L44" s="7"/>
      <c r="M44" s="7"/>
      <c r="N44" s="2"/>
    </row>
    <row r="47" spans="2:50" x14ac:dyDescent="0.2">
      <c r="D47" s="2"/>
      <c r="E47" s="2"/>
      <c r="F47" s="2"/>
      <c r="G47" s="2"/>
      <c r="H47" s="2"/>
      <c r="I47" s="2"/>
      <c r="J47" s="6"/>
      <c r="K47" s="6"/>
      <c r="L47" s="6"/>
      <c r="M47" s="2"/>
      <c r="N47" s="2"/>
    </row>
    <row r="48" spans="2:50" x14ac:dyDescent="0.2">
      <c r="D48" s="2"/>
      <c r="E48" s="2"/>
      <c r="F48" s="2"/>
      <c r="G48" s="2"/>
      <c r="H48" s="2"/>
      <c r="I48" s="2"/>
      <c r="J48" s="6"/>
      <c r="K48" s="6"/>
      <c r="L48" s="6"/>
      <c r="M48" s="2"/>
      <c r="N48" s="2"/>
    </row>
    <row r="49" spans="4:14" x14ac:dyDescent="0.2">
      <c r="D49" s="2"/>
      <c r="E49" s="2"/>
      <c r="F49" s="2"/>
      <c r="G49" s="2"/>
      <c r="H49" s="2"/>
      <c r="I49" s="2"/>
      <c r="J49" s="2"/>
      <c r="K49" s="2"/>
      <c r="L49" s="2"/>
      <c r="M49" s="2"/>
      <c r="N49" s="2"/>
    </row>
    <row r="50" spans="4:14" x14ac:dyDescent="0.2">
      <c r="D50" s="2"/>
      <c r="E50" s="2"/>
      <c r="F50" s="2"/>
      <c r="G50" s="2"/>
      <c r="H50" s="2"/>
      <c r="I50" s="2"/>
      <c r="J50" s="6"/>
      <c r="K50" s="6"/>
      <c r="L50" s="6"/>
      <c r="M50" s="2"/>
      <c r="N50" s="2"/>
    </row>
    <row r="51" spans="4:14" x14ac:dyDescent="0.2">
      <c r="D51" s="2"/>
      <c r="E51" s="2"/>
      <c r="F51" s="2"/>
      <c r="G51" s="2"/>
      <c r="H51" s="2"/>
      <c r="I51" s="2"/>
      <c r="J51" s="6"/>
      <c r="K51" s="6"/>
      <c r="L51" s="6"/>
      <c r="M51" s="2"/>
      <c r="N51" s="2"/>
    </row>
    <row r="52" spans="4:14" x14ac:dyDescent="0.2">
      <c r="D52" s="2"/>
      <c r="E52" s="2"/>
      <c r="F52" s="2"/>
      <c r="G52" s="2"/>
      <c r="H52" s="2"/>
      <c r="I52" s="2"/>
      <c r="J52" s="6"/>
      <c r="K52" s="6"/>
      <c r="L52" s="6"/>
      <c r="M52" s="2"/>
      <c r="N52" s="2"/>
    </row>
    <row r="53" spans="4:14" x14ac:dyDescent="0.2">
      <c r="D53" s="2"/>
      <c r="E53" s="2"/>
      <c r="F53" s="2"/>
      <c r="G53" s="2"/>
      <c r="H53" s="2"/>
      <c r="I53" s="2"/>
      <c r="J53" s="6"/>
      <c r="K53" s="6"/>
      <c r="L53" s="6"/>
      <c r="M53" s="2"/>
      <c r="N53" s="2"/>
    </row>
    <row r="54" spans="4:14" x14ac:dyDescent="0.2">
      <c r="D54" s="2"/>
      <c r="E54" s="2"/>
      <c r="F54" s="2"/>
      <c r="G54" s="2"/>
      <c r="H54" s="2"/>
      <c r="I54" s="2"/>
      <c r="J54" s="6"/>
      <c r="K54" s="6"/>
      <c r="L54" s="6"/>
      <c r="M54" s="2"/>
      <c r="N54" s="2"/>
    </row>
    <row r="55" spans="4:14" x14ac:dyDescent="0.2">
      <c r="D55" s="2"/>
      <c r="E55" s="2"/>
      <c r="F55" s="2"/>
      <c r="G55" s="2"/>
      <c r="H55" s="2"/>
      <c r="I55" s="2"/>
      <c r="J55" s="6"/>
      <c r="K55" s="6"/>
      <c r="L55" s="6"/>
      <c r="M55" s="2"/>
      <c r="N55" s="2"/>
    </row>
    <row r="56" spans="4:14" x14ac:dyDescent="0.2">
      <c r="D56" s="2"/>
      <c r="E56" s="2"/>
      <c r="F56" s="2"/>
      <c r="G56" s="2"/>
      <c r="H56" s="2"/>
      <c r="I56" s="2"/>
      <c r="J56" s="6"/>
      <c r="K56" s="6"/>
      <c r="L56" s="6"/>
      <c r="M56" s="2"/>
      <c r="N56" s="2"/>
    </row>
    <row r="57" spans="4:14" x14ac:dyDescent="0.2">
      <c r="D57" s="2"/>
      <c r="E57" s="2"/>
      <c r="F57" s="2"/>
      <c r="G57" s="2"/>
      <c r="H57" s="2"/>
      <c r="I57" s="2"/>
      <c r="J57" s="6"/>
      <c r="K57" s="6"/>
      <c r="L57" s="6"/>
      <c r="M57" s="2"/>
      <c r="N57" s="2"/>
    </row>
    <row r="58" spans="4:14" x14ac:dyDescent="0.2">
      <c r="D58" s="2"/>
      <c r="E58" s="2"/>
      <c r="F58" s="2"/>
      <c r="G58" s="2"/>
      <c r="H58" s="2"/>
      <c r="I58" s="2"/>
      <c r="J58" s="6"/>
      <c r="K58" s="6"/>
      <c r="L58" s="6"/>
      <c r="M58" s="2"/>
    </row>
    <row r="59" spans="4:14" x14ac:dyDescent="0.2">
      <c r="D59" s="2"/>
      <c r="E59" s="2"/>
      <c r="F59" s="2"/>
      <c r="G59" s="2"/>
      <c r="H59" s="2"/>
      <c r="I59" s="2"/>
      <c r="J59" s="6"/>
      <c r="K59" s="6"/>
      <c r="L59" s="6"/>
      <c r="M59" s="2"/>
    </row>
  </sheetData>
  <conditionalFormatting sqref="Z17:AB18">
    <cfRule type="colorScale" priority="41">
      <colorScale>
        <cfvo type="min"/>
        <cfvo type="percentile" val="50"/>
        <cfvo type="max"/>
        <color rgb="FFF8696B"/>
        <color rgb="FFFFEB84"/>
        <color rgb="FF63BE7B"/>
      </colorScale>
    </cfRule>
  </conditionalFormatting>
  <conditionalFormatting sqref="AH17:AJ18">
    <cfRule type="colorScale" priority="46">
      <colorScale>
        <cfvo type="min"/>
        <cfvo type="percentile" val="50"/>
        <cfvo type="max"/>
        <color rgb="FFF8696B"/>
        <color rgb="FFFFEB84"/>
        <color rgb="FF63BE7B"/>
      </colorScale>
    </cfRule>
  </conditionalFormatting>
  <conditionalFormatting sqref="AL19:AX44">
    <cfRule type="cellIs" dxfId="0" priority="1" operator="lessThan">
      <formula>0</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225C4-EBC6-484D-AA5A-6E693C1A5980}">
  <dimension ref="B2:C17"/>
  <sheetViews>
    <sheetView showGridLines="0" workbookViewId="0"/>
  </sheetViews>
  <sheetFormatPr baseColWidth="10" defaultColWidth="8.83203125" defaultRowHeight="15" x14ac:dyDescent="0.2"/>
  <cols>
    <col min="2" max="2" width="75.33203125" customWidth="1"/>
    <col min="3" max="3" width="101.83203125" customWidth="1"/>
  </cols>
  <sheetData>
    <row r="2" spans="2:3" ht="24" x14ac:dyDescent="0.3">
      <c r="B2" s="1" t="s">
        <v>0</v>
      </c>
    </row>
    <row r="4" spans="2:3" x14ac:dyDescent="0.2">
      <c r="B4" s="26" t="s">
        <v>70</v>
      </c>
      <c r="C4" s="26" t="s">
        <v>71</v>
      </c>
    </row>
    <row r="5" spans="2:3" ht="16" x14ac:dyDescent="0.2">
      <c r="B5" t="s">
        <v>48</v>
      </c>
      <c r="C5" s="57" t="s">
        <v>72</v>
      </c>
    </row>
    <row r="6" spans="2:3" ht="16" x14ac:dyDescent="0.2">
      <c r="B6" t="s">
        <v>20</v>
      </c>
      <c r="C6" s="57" t="s">
        <v>73</v>
      </c>
    </row>
    <row r="7" spans="2:3" x14ac:dyDescent="0.2">
      <c r="B7" t="s">
        <v>14</v>
      </c>
      <c r="C7" t="s">
        <v>74</v>
      </c>
    </row>
    <row r="8" spans="2:3" x14ac:dyDescent="0.2">
      <c r="B8" t="s">
        <v>17</v>
      </c>
      <c r="C8" t="s">
        <v>75</v>
      </c>
    </row>
    <row r="9" spans="2:3" x14ac:dyDescent="0.2">
      <c r="B9" t="s">
        <v>15</v>
      </c>
      <c r="C9" t="s">
        <v>76</v>
      </c>
    </row>
    <row r="10" spans="2:3" x14ac:dyDescent="0.2">
      <c r="B10" t="s">
        <v>77</v>
      </c>
      <c r="C10" t="s">
        <v>78</v>
      </c>
    </row>
    <row r="11" spans="2:3" x14ac:dyDescent="0.2">
      <c r="B11" t="s">
        <v>69</v>
      </c>
      <c r="C11" t="s">
        <v>79</v>
      </c>
    </row>
    <row r="12" spans="2:3" x14ac:dyDescent="0.2">
      <c r="B12" t="s">
        <v>18</v>
      </c>
      <c r="C12" t="s">
        <v>80</v>
      </c>
    </row>
    <row r="13" spans="2:3" x14ac:dyDescent="0.2">
      <c r="B13" s="26" t="s">
        <v>67</v>
      </c>
      <c r="C13" s="26" t="s">
        <v>71</v>
      </c>
    </row>
    <row r="14" spans="2:3" x14ac:dyDescent="0.2">
      <c r="B14" t="s">
        <v>19</v>
      </c>
      <c r="C14" t="s">
        <v>81</v>
      </c>
    </row>
    <row r="15" spans="2:3" x14ac:dyDescent="0.2">
      <c r="B15" t="s">
        <v>14</v>
      </c>
      <c r="C15" t="s">
        <v>74</v>
      </c>
    </row>
    <row r="16" spans="2:3" x14ac:dyDescent="0.2">
      <c r="B16" t="s">
        <v>17</v>
      </c>
      <c r="C16" t="s">
        <v>75</v>
      </c>
    </row>
    <row r="17" spans="2:3" ht="16" x14ac:dyDescent="0.2">
      <c r="B17" t="s">
        <v>20</v>
      </c>
      <c r="C17" s="57"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Defense Comparables</vt:lpstr>
      <vt:lpstr>Key 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de Jong</dc:creator>
  <cp:lastModifiedBy>Tim de Jong</cp:lastModifiedBy>
  <dcterms:created xsi:type="dcterms:W3CDTF">2025-02-26T16:44:56Z</dcterms:created>
  <dcterms:modified xsi:type="dcterms:W3CDTF">2025-03-20T14:38:08Z</dcterms:modified>
</cp:coreProperties>
</file>