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mc:AlternateContent xmlns:mc="http://schemas.openxmlformats.org/markup-compatibility/2006">
    <mc:Choice Requires="x15">
      <x15ac:absPath xmlns:x15ac="http://schemas.microsoft.com/office/spreadsheetml/2010/11/ac" url="/Users/javorszky/Projects/apr-calc/"/>
    </mc:Choice>
  </mc:AlternateContent>
  <xr:revisionPtr revIDLastSave="0" documentId="13_ncr:1_{C42F9B03-14D5-EA4B-8AE0-4FCB0B6A4EC3}" xr6:coauthVersionLast="47" xr6:coauthVersionMax="47" xr10:uidLastSave="{00000000-0000-0000-0000-000000000000}"/>
  <bookViews>
    <workbookView xWindow="-67200" yWindow="-1420" windowWidth="28800" windowHeight="25000" activeTab="2" xr2:uid="{00000000-000D-0000-FFFF-FFFF00000000}"/>
  </bookViews>
  <sheets>
    <sheet name="Read me" sheetId="1" r:id="rId1"/>
    <sheet name="Monthly" sheetId="2" r:id="rId2"/>
    <sheet name="Daily" sheetId="3" r:id="rId3"/>
  </sheets>
  <definedNames>
    <definedName name="solver_adj" localSheetId="2" hidden="1">Daily!$D$22:$D$37</definedName>
    <definedName name="solver_adj" localSheetId="1" hidden="1">Monthly!$C$20:$C$27</definedName>
    <definedName name="solver_cvg" localSheetId="2" hidden="1">0.0000001</definedName>
    <definedName name="solver_cvg" localSheetId="1" hidden="1">0.0000001</definedName>
    <definedName name="solver_drv" localSheetId="2" hidden="1">1</definedName>
    <definedName name="solver_drv" localSheetId="1" hidden="1">1</definedName>
    <definedName name="solver_eng" localSheetId="2" hidden="1">1</definedName>
    <definedName name="solver_eng" localSheetId="1" hidden="1">1</definedName>
    <definedName name="solver_itr" localSheetId="2" hidden="1">2147483647</definedName>
    <definedName name="solver_itr" localSheetId="1" hidden="1">2147483647</definedName>
    <definedName name="solver_lhs1" localSheetId="2" hidden="1">Daily!$E$22:$E$37</definedName>
    <definedName name="solver_lhs1" localSheetId="1" hidden="1">Monthly!$D$20:$D$27</definedName>
    <definedName name="solver_lin" localSheetId="2" hidden="1">2</definedName>
    <definedName name="solver_lin" localSheetId="1" hidden="1">2</definedName>
    <definedName name="solver_mip" localSheetId="2" hidden="1">2147483647</definedName>
    <definedName name="solver_mip" localSheetId="1" hidden="1">2147483647</definedName>
    <definedName name="solver_mni" localSheetId="2" hidden="1">30</definedName>
    <definedName name="solver_mni" localSheetId="1" hidden="1">30</definedName>
    <definedName name="solver_mrt" localSheetId="2" hidden="1">0.075</definedName>
    <definedName name="solver_mrt" localSheetId="1" hidden="1">0.075</definedName>
    <definedName name="solver_msl" localSheetId="2" hidden="1">2</definedName>
    <definedName name="solver_msl" localSheetId="1" hidden="1">2</definedName>
    <definedName name="solver_neg" localSheetId="2" hidden="1">1</definedName>
    <definedName name="solver_neg" localSheetId="1" hidden="1">1</definedName>
    <definedName name="solver_nod" localSheetId="2" hidden="1">2147483647</definedName>
    <definedName name="solver_nod" localSheetId="1" hidden="1">2147483647</definedName>
    <definedName name="solver_num" localSheetId="2" hidden="1">1</definedName>
    <definedName name="solver_num" localSheetId="1" hidden="1">1</definedName>
    <definedName name="solver_opt" localSheetId="2" hidden="1">Daily!$D$38</definedName>
    <definedName name="solver_opt" localSheetId="1" hidden="1">Monthly!$C$28</definedName>
    <definedName name="solver_pre" localSheetId="2" hidden="1">0.000001</definedName>
    <definedName name="solver_pre" localSheetId="1" hidden="1">0.000001</definedName>
    <definedName name="solver_rbv" localSheetId="2" hidden="1">1</definedName>
    <definedName name="solver_rbv" localSheetId="1" hidden="1">1</definedName>
    <definedName name="solver_rel1" localSheetId="2" hidden="1">2</definedName>
    <definedName name="solver_rel1" localSheetId="1" hidden="1">2</definedName>
    <definedName name="solver_rhs1" localSheetId="2" hidden="1">0</definedName>
    <definedName name="solver_rhs1" localSheetId="1" hidden="1">0</definedName>
    <definedName name="solver_rlx" localSheetId="2" hidden="1">2</definedName>
    <definedName name="solver_rlx" localSheetId="1" hidden="1">2</definedName>
    <definedName name="solver_rsd" localSheetId="2" hidden="1">0</definedName>
    <definedName name="solver_rsd" localSheetId="1" hidden="1">0</definedName>
    <definedName name="solver_scl" localSheetId="2" hidden="1">1</definedName>
    <definedName name="solver_scl" localSheetId="1" hidden="1">1</definedName>
    <definedName name="solver_sho" localSheetId="2" hidden="1">2</definedName>
    <definedName name="solver_sho" localSheetId="1" hidden="1">2</definedName>
    <definedName name="solver_ssz" localSheetId="2" hidden="1">100</definedName>
    <definedName name="solver_ssz" localSheetId="1" hidden="1">100</definedName>
    <definedName name="solver_tim" localSheetId="2" hidden="1">2147483647</definedName>
    <definedName name="solver_tim" localSheetId="1" hidden="1">2147483647</definedName>
    <definedName name="solver_tol" localSheetId="2" hidden="1">0.01</definedName>
    <definedName name="solver_tol" localSheetId="1" hidden="1">0.01</definedName>
    <definedName name="solver_typ" localSheetId="2" hidden="1">2</definedName>
    <definedName name="solver_typ" localSheetId="1" hidden="1">2</definedName>
    <definedName name="solver_val" localSheetId="2" hidden="1">0</definedName>
    <definedName name="solver_val" localSheetId="1" hidden="1">0</definedName>
    <definedName name="solver_ver" localSheetId="2" hidden="1">2</definedName>
    <definedName name="solver_ver" localSheetId="1" hidden="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12" i="3" l="1"/>
  <c r="I112" i="3"/>
  <c r="H112" i="3"/>
  <c r="G112" i="3"/>
  <c r="F112" i="3"/>
  <c r="E112" i="3"/>
  <c r="D112" i="3"/>
  <c r="C112" i="3"/>
  <c r="J60" i="3"/>
  <c r="I60" i="3"/>
  <c r="H60" i="3"/>
  <c r="G60" i="3"/>
  <c r="F60" i="3"/>
  <c r="E60" i="3"/>
  <c r="D60" i="3"/>
  <c r="C60" i="3"/>
  <c r="B17" i="3"/>
  <c r="B16" i="3"/>
  <c r="B12" i="3"/>
  <c r="O51" i="2"/>
  <c r="N51" i="2"/>
  <c r="M51" i="2"/>
  <c r="L51" i="2"/>
  <c r="K51" i="2"/>
  <c r="J51" i="2"/>
  <c r="I51" i="2"/>
  <c r="H51" i="2"/>
  <c r="B45" i="2"/>
  <c r="C45" i="2" s="1"/>
  <c r="B44" i="2"/>
  <c r="C44" i="2" s="1"/>
  <c r="B43" i="2"/>
  <c r="C43" i="2" s="1"/>
  <c r="B42" i="2"/>
  <c r="C42" i="2" s="1"/>
  <c r="B41" i="2"/>
  <c r="C41" i="2" s="1"/>
  <c r="B40" i="2"/>
  <c r="C40" i="2" s="1"/>
  <c r="O33" i="2"/>
  <c r="N33" i="2"/>
  <c r="M33" i="2"/>
  <c r="L33" i="2"/>
  <c r="K33" i="2"/>
  <c r="J33" i="2"/>
  <c r="I33" i="2"/>
  <c r="H33" i="2"/>
  <c r="B14" i="2"/>
  <c r="B12" i="2"/>
  <c r="B11" i="2"/>
  <c r="G106" i="3" l="1"/>
  <c r="G56" i="3"/>
  <c r="G50" i="3"/>
  <c r="G52" i="3"/>
  <c r="G49" i="3"/>
  <c r="G48" i="3"/>
  <c r="G54" i="3"/>
  <c r="G51" i="3"/>
  <c r="G46" i="3"/>
  <c r="G55" i="3"/>
  <c r="G45" i="3"/>
  <c r="G97" i="3"/>
  <c r="G98" i="3"/>
  <c r="G99" i="3"/>
  <c r="G100" i="3"/>
  <c r="G101" i="3"/>
  <c r="G47" i="3"/>
  <c r="G102" i="3"/>
  <c r="G103" i="3"/>
  <c r="G108" i="3"/>
  <c r="G104" i="3"/>
  <c r="G107" i="3"/>
  <c r="G105" i="3"/>
  <c r="G53" i="3"/>
  <c r="B18" i="3"/>
  <c r="J48" i="3" s="1"/>
  <c r="J98" i="3"/>
  <c r="J54" i="3"/>
  <c r="J97" i="3"/>
  <c r="J45" i="3"/>
  <c r="J46" i="3"/>
  <c r="J47" i="3"/>
  <c r="J49" i="3"/>
  <c r="J56" i="3"/>
  <c r="B44" i="3"/>
  <c r="B53" i="3"/>
  <c r="B45" i="3"/>
  <c r="B10" i="3"/>
  <c r="B46" i="3"/>
  <c r="B47" i="3"/>
  <c r="B48" i="3"/>
  <c r="B49" i="3"/>
  <c r="B50" i="3"/>
  <c r="B51" i="3"/>
  <c r="B54" i="3"/>
  <c r="B52" i="3"/>
  <c r="B9" i="3"/>
  <c r="B14" i="3"/>
  <c r="B55" i="3"/>
  <c r="B56" i="3"/>
  <c r="H45" i="2"/>
  <c r="H63" i="2" s="1"/>
  <c r="I45" i="2"/>
  <c r="I63" i="2" s="1"/>
  <c r="J45" i="2"/>
  <c r="J63" i="2" s="1"/>
  <c r="H44" i="2"/>
  <c r="H62" i="2" s="1"/>
  <c r="I44" i="2"/>
  <c r="I62" i="2" s="1"/>
  <c r="J44" i="2"/>
  <c r="J62" i="2" s="1"/>
  <c r="H43" i="2"/>
  <c r="H61" i="2" s="1"/>
  <c r="I43" i="2"/>
  <c r="I61" i="2" s="1"/>
  <c r="J43" i="2"/>
  <c r="J61" i="2" s="1"/>
  <c r="H42" i="2"/>
  <c r="H60" i="2" s="1"/>
  <c r="I42" i="2"/>
  <c r="I60" i="2" s="1"/>
  <c r="J42" i="2"/>
  <c r="J60" i="2" s="1"/>
  <c r="H41" i="2"/>
  <c r="H59" i="2" s="1"/>
  <c r="I41" i="2"/>
  <c r="I59" i="2" s="1"/>
  <c r="J41" i="2"/>
  <c r="J59" i="2" s="1"/>
  <c r="H40" i="2"/>
  <c r="H58" i="2" s="1"/>
  <c r="I40" i="2"/>
  <c r="I58" i="2" s="1"/>
  <c r="J40" i="2"/>
  <c r="J58" i="2" s="1"/>
  <c r="B15" i="2"/>
  <c r="E34" i="2"/>
  <c r="E35" i="2"/>
  <c r="E36" i="2"/>
  <c r="E37" i="2"/>
  <c r="E38" i="2"/>
  <c r="B34" i="2"/>
  <c r="C34" i="2"/>
  <c r="B35" i="2"/>
  <c r="C35" i="2"/>
  <c r="B36" i="2"/>
  <c r="C36" i="2"/>
  <c r="B37" i="2"/>
  <c r="C37" i="2"/>
  <c r="B38" i="2"/>
  <c r="C38" i="2"/>
  <c r="B39" i="2"/>
  <c r="C39" i="2" s="1"/>
  <c r="B13" i="2"/>
  <c r="B16" i="2"/>
  <c r="B13" i="3" l="1"/>
  <c r="C44" i="3"/>
  <c r="B77" i="3" s="1"/>
  <c r="B60" i="3"/>
  <c r="C53" i="3"/>
  <c r="B69" i="3"/>
  <c r="C45" i="3"/>
  <c r="B61" i="3"/>
  <c r="C46" i="3"/>
  <c r="B62" i="3"/>
  <c r="C47" i="3"/>
  <c r="B63" i="3"/>
  <c r="C48" i="3"/>
  <c r="B64" i="3"/>
  <c r="C49" i="3"/>
  <c r="B65" i="3"/>
  <c r="B66" i="3"/>
  <c r="C50" i="3"/>
  <c r="C51" i="3"/>
  <c r="B67" i="3"/>
  <c r="C54" i="3"/>
  <c r="B70" i="3"/>
  <c r="B68" i="3"/>
  <c r="C52" i="3"/>
  <c r="C55" i="3"/>
  <c r="B71" i="3"/>
  <c r="C56" i="3"/>
  <c r="B72" i="3"/>
  <c r="F34" i="2"/>
  <c r="F35" i="2"/>
  <c r="K35" i="2" s="1"/>
  <c r="K53" i="2" s="1"/>
  <c r="F36" i="2"/>
  <c r="K36" i="2" s="1"/>
  <c r="K54" i="2" s="1"/>
  <c r="F37" i="2"/>
  <c r="K37" i="2" s="1"/>
  <c r="K55" i="2" s="1"/>
  <c r="F38" i="2"/>
  <c r="K38" i="2" s="1"/>
  <c r="K56" i="2" s="1"/>
  <c r="E41" i="2"/>
  <c r="F42" i="2"/>
  <c r="K42" i="2" s="1"/>
  <c r="K60" i="2" s="1"/>
  <c r="E45" i="2"/>
  <c r="F45" i="2" s="1"/>
  <c r="K45" i="2" s="1"/>
  <c r="K63" i="2" s="1"/>
  <c r="E39" i="2"/>
  <c r="F39" i="2"/>
  <c r="K39" i="2" s="1"/>
  <c r="K57" i="2" s="1"/>
  <c r="E40" i="2"/>
  <c r="F41" i="2"/>
  <c r="K41" i="2" s="1"/>
  <c r="K59" i="2" s="1"/>
  <c r="E43" i="2"/>
  <c r="F43" i="2" s="1"/>
  <c r="K43" i="2" s="1"/>
  <c r="K61" i="2" s="1"/>
  <c r="E44" i="2"/>
  <c r="F44" i="2" s="1"/>
  <c r="K44" i="2" s="1"/>
  <c r="K62" i="2" s="1"/>
  <c r="F40" i="2"/>
  <c r="K40" i="2" s="1"/>
  <c r="K58" i="2" s="1"/>
  <c r="E42" i="2"/>
  <c r="H34" i="2"/>
  <c r="I34" i="2"/>
  <c r="J34" i="2"/>
  <c r="C46" i="2"/>
  <c r="H35" i="2"/>
  <c r="H53" i="2" s="1"/>
  <c r="I35" i="2"/>
  <c r="I53" i="2" s="1"/>
  <c r="J35" i="2"/>
  <c r="J53" i="2" s="1"/>
  <c r="H36" i="2"/>
  <c r="H54" i="2" s="1"/>
  <c r="I36" i="2"/>
  <c r="I54" i="2" s="1"/>
  <c r="J36" i="2"/>
  <c r="J54" i="2" s="1"/>
  <c r="H37" i="2"/>
  <c r="H55" i="2" s="1"/>
  <c r="I37" i="2"/>
  <c r="I55" i="2" s="1"/>
  <c r="J37" i="2"/>
  <c r="J55" i="2" s="1"/>
  <c r="H38" i="2"/>
  <c r="H56" i="2" s="1"/>
  <c r="I38" i="2"/>
  <c r="I56" i="2" s="1"/>
  <c r="J38" i="2"/>
  <c r="J56" i="2" s="1"/>
  <c r="H39" i="2"/>
  <c r="H57" i="2" s="1"/>
  <c r="I39" i="2"/>
  <c r="I57" i="2" s="1"/>
  <c r="J39" i="2"/>
  <c r="J57" i="2" s="1"/>
  <c r="D34" i="2"/>
  <c r="D35" i="2"/>
  <c r="D36" i="2"/>
  <c r="D37" i="2"/>
  <c r="D38" i="2"/>
  <c r="D44" i="2"/>
  <c r="D40" i="2"/>
  <c r="D45" i="2"/>
  <c r="D39" i="2"/>
  <c r="D41" i="2"/>
  <c r="D42" i="2"/>
  <c r="D43" i="2"/>
  <c r="G34" i="2"/>
  <c r="G35" i="2"/>
  <c r="O35" i="2" s="1"/>
  <c r="O53" i="2" s="1"/>
  <c r="G36" i="2"/>
  <c r="O36" i="2" s="1"/>
  <c r="O54" i="2" s="1"/>
  <c r="G37" i="2"/>
  <c r="O37" i="2" s="1"/>
  <c r="O55" i="2" s="1"/>
  <c r="G38" i="2"/>
  <c r="O38" i="2" s="1"/>
  <c r="O56" i="2" s="1"/>
  <c r="G42" i="2"/>
  <c r="O42" i="2" s="1"/>
  <c r="O60" i="2" s="1"/>
  <c r="G39" i="2"/>
  <c r="O39" i="2" s="1"/>
  <c r="O57" i="2" s="1"/>
  <c r="G40" i="2"/>
  <c r="O40" i="2" s="1"/>
  <c r="O58" i="2" s="1"/>
  <c r="G41" i="2"/>
  <c r="O41" i="2" s="1"/>
  <c r="O59" i="2" s="1"/>
  <c r="G43" i="2"/>
  <c r="O43" i="2" s="1"/>
  <c r="O61" i="2" s="1"/>
  <c r="G45" i="2"/>
  <c r="O45" i="2" s="1"/>
  <c r="O63" i="2" s="1"/>
  <c r="G44" i="2"/>
  <c r="O44" i="2" s="1"/>
  <c r="O62" i="2" s="1"/>
  <c r="J102" i="3"/>
  <c r="J53" i="3"/>
  <c r="J50" i="3"/>
  <c r="J101" i="3"/>
  <c r="J100" i="3"/>
  <c r="J108" i="3"/>
  <c r="J103" i="3"/>
  <c r="J107" i="3"/>
  <c r="J104" i="3"/>
  <c r="J105" i="3"/>
  <c r="J55" i="3"/>
  <c r="J106" i="3"/>
  <c r="J52" i="3"/>
  <c r="J99" i="3"/>
  <c r="J51" i="3"/>
  <c r="B97" i="3" l="1"/>
  <c r="B98" i="3"/>
  <c r="B99" i="3"/>
  <c r="B100" i="3"/>
  <c r="B101" i="3"/>
  <c r="B102" i="3"/>
  <c r="B103" i="3"/>
  <c r="B104" i="3"/>
  <c r="B105" i="3"/>
  <c r="B15" i="3"/>
  <c r="B96" i="3"/>
  <c r="B106" i="3"/>
  <c r="B107" i="3"/>
  <c r="B108" i="3"/>
  <c r="F77" i="3"/>
  <c r="G77" i="3"/>
  <c r="H77" i="3"/>
  <c r="I77" i="3"/>
  <c r="J77" i="3"/>
  <c r="C77" i="3"/>
  <c r="D77" i="3"/>
  <c r="E77" i="3"/>
  <c r="D53" i="3"/>
  <c r="E53" i="3" s="1"/>
  <c r="F53" i="3"/>
  <c r="B86" i="3"/>
  <c r="B78" i="3"/>
  <c r="D45" i="3"/>
  <c r="E45" i="3" s="1"/>
  <c r="F45" i="3"/>
  <c r="D46" i="3"/>
  <c r="E46" i="3" s="1"/>
  <c r="F46" i="3"/>
  <c r="B79" i="3"/>
  <c r="F47" i="3"/>
  <c r="B80" i="3"/>
  <c r="D47" i="3"/>
  <c r="E47" i="3" s="1"/>
  <c r="D48" i="3"/>
  <c r="E48" i="3" s="1"/>
  <c r="F48" i="3"/>
  <c r="B81" i="3"/>
  <c r="D49" i="3"/>
  <c r="E49" i="3" s="1"/>
  <c r="F49" i="3"/>
  <c r="B82" i="3"/>
  <c r="D50" i="3"/>
  <c r="E50" i="3" s="1"/>
  <c r="F50" i="3"/>
  <c r="B83" i="3"/>
  <c r="D51" i="3"/>
  <c r="E51" i="3" s="1"/>
  <c r="F51" i="3"/>
  <c r="B84" i="3"/>
  <c r="D54" i="3"/>
  <c r="E54" i="3" s="1"/>
  <c r="F54" i="3"/>
  <c r="B87" i="3"/>
  <c r="D52" i="3"/>
  <c r="E52" i="3" s="1"/>
  <c r="F52" i="3"/>
  <c r="B85" i="3"/>
  <c r="B88" i="3"/>
  <c r="D55" i="3"/>
  <c r="E55" i="3" s="1"/>
  <c r="F55" i="3"/>
  <c r="D56" i="3"/>
  <c r="E56" i="3" s="1"/>
  <c r="F56" i="3"/>
  <c r="B89" i="3"/>
  <c r="K34" i="2"/>
  <c r="F46" i="2"/>
  <c r="H52" i="2"/>
  <c r="H64" i="2" s="1"/>
  <c r="D20" i="2" s="1"/>
  <c r="H46" i="2"/>
  <c r="F20" i="2"/>
  <c r="G20" i="2" s="1"/>
  <c r="I46" i="2"/>
  <c r="I52" i="2"/>
  <c r="I64" i="2" s="1"/>
  <c r="D21" i="2" s="1"/>
  <c r="E21" i="2" s="1"/>
  <c r="F21" i="2"/>
  <c r="G21" i="2" s="1"/>
  <c r="J52" i="2"/>
  <c r="J64" i="2" s="1"/>
  <c r="D22" i="2" s="1"/>
  <c r="E22" i="2" s="1"/>
  <c r="J46" i="2"/>
  <c r="F22" i="2"/>
  <c r="G22" i="2" s="1"/>
  <c r="L34" i="2"/>
  <c r="M34" i="2"/>
  <c r="N34" i="2"/>
  <c r="D46" i="2"/>
  <c r="L35" i="2"/>
  <c r="L53" i="2" s="1"/>
  <c r="M35" i="2"/>
  <c r="M53" i="2" s="1"/>
  <c r="N35" i="2"/>
  <c r="N53" i="2" s="1"/>
  <c r="L36" i="2"/>
  <c r="L54" i="2" s="1"/>
  <c r="M36" i="2"/>
  <c r="M54" i="2" s="1"/>
  <c r="N36" i="2"/>
  <c r="N54" i="2" s="1"/>
  <c r="L37" i="2"/>
  <c r="L55" i="2" s="1"/>
  <c r="M37" i="2"/>
  <c r="M55" i="2" s="1"/>
  <c r="N37" i="2"/>
  <c r="N55" i="2" s="1"/>
  <c r="L38" i="2"/>
  <c r="L56" i="2" s="1"/>
  <c r="M38" i="2"/>
  <c r="M56" i="2" s="1"/>
  <c r="N38" i="2"/>
  <c r="N56" i="2" s="1"/>
  <c r="L44" i="2"/>
  <c r="L62" i="2" s="1"/>
  <c r="M44" i="2"/>
  <c r="M62" i="2" s="1"/>
  <c r="N44" i="2"/>
  <c r="N62" i="2" s="1"/>
  <c r="L40" i="2"/>
  <c r="L58" i="2" s="1"/>
  <c r="M40" i="2"/>
  <c r="M58" i="2" s="1"/>
  <c r="N40" i="2"/>
  <c r="N58" i="2" s="1"/>
  <c r="M45" i="2"/>
  <c r="M63" i="2" s="1"/>
  <c r="L45" i="2"/>
  <c r="L63" i="2" s="1"/>
  <c r="N45" i="2"/>
  <c r="N63" i="2" s="1"/>
  <c r="L39" i="2"/>
  <c r="L57" i="2" s="1"/>
  <c r="M39" i="2"/>
  <c r="M57" i="2" s="1"/>
  <c r="N39" i="2"/>
  <c r="N57" i="2" s="1"/>
  <c r="M41" i="2"/>
  <c r="M59" i="2" s="1"/>
  <c r="N41" i="2"/>
  <c r="N59" i="2" s="1"/>
  <c r="L41" i="2"/>
  <c r="L59" i="2" s="1"/>
  <c r="N42" i="2"/>
  <c r="N60" i="2" s="1"/>
  <c r="L42" i="2"/>
  <c r="L60" i="2" s="1"/>
  <c r="M42" i="2"/>
  <c r="M60" i="2" s="1"/>
  <c r="L43" i="2"/>
  <c r="L61" i="2" s="1"/>
  <c r="N43" i="2"/>
  <c r="N61" i="2" s="1"/>
  <c r="M43" i="2"/>
  <c r="M61" i="2" s="1"/>
  <c r="O34" i="2"/>
  <c r="G46" i="2"/>
  <c r="C97" i="3" l="1"/>
  <c r="B113" i="3"/>
  <c r="C98" i="3"/>
  <c r="B114" i="3"/>
  <c r="C99" i="3"/>
  <c r="B115" i="3"/>
  <c r="C100" i="3"/>
  <c r="B116" i="3"/>
  <c r="C101" i="3"/>
  <c r="B117" i="3"/>
  <c r="C102" i="3"/>
  <c r="B118" i="3"/>
  <c r="C103" i="3"/>
  <c r="B119" i="3"/>
  <c r="C104" i="3"/>
  <c r="B120" i="3"/>
  <c r="C105" i="3"/>
  <c r="B121" i="3"/>
  <c r="C96" i="3"/>
  <c r="B129" i="3" s="1"/>
  <c r="B112" i="3"/>
  <c r="C107" i="3"/>
  <c r="B123" i="3"/>
  <c r="C106" i="3"/>
  <c r="B122" i="3"/>
  <c r="C108" i="3"/>
  <c r="B141" i="3" s="1"/>
  <c r="B124" i="3"/>
  <c r="K53" i="3"/>
  <c r="F69" i="3" s="1"/>
  <c r="F86" i="3" s="1"/>
  <c r="H53" i="3"/>
  <c r="K45" i="3"/>
  <c r="F61" i="3" s="1"/>
  <c r="H45" i="3"/>
  <c r="L50" i="3"/>
  <c r="J66" i="3" s="1"/>
  <c r="J83" i="3" s="1"/>
  <c r="L56" i="3"/>
  <c r="J72" i="3" s="1"/>
  <c r="J89" i="3" s="1"/>
  <c r="L48" i="3"/>
  <c r="J64" i="3" s="1"/>
  <c r="J81" i="3" s="1"/>
  <c r="L55" i="3"/>
  <c r="J71" i="3" s="1"/>
  <c r="J88" i="3" s="1"/>
  <c r="L49" i="3"/>
  <c r="J65" i="3" s="1"/>
  <c r="J82" i="3" s="1"/>
  <c r="L53" i="3"/>
  <c r="J69" i="3" s="1"/>
  <c r="J86" i="3" s="1"/>
  <c r="L47" i="3"/>
  <c r="J63" i="3" s="1"/>
  <c r="J80" i="3" s="1"/>
  <c r="L46" i="3"/>
  <c r="J62" i="3" s="1"/>
  <c r="J79" i="3" s="1"/>
  <c r="L45" i="3"/>
  <c r="J61" i="3" s="1"/>
  <c r="L54" i="3"/>
  <c r="J70" i="3" s="1"/>
  <c r="J87" i="3" s="1"/>
  <c r="L52" i="3"/>
  <c r="J68" i="3" s="1"/>
  <c r="J85" i="3" s="1"/>
  <c r="L51" i="3"/>
  <c r="J67" i="3" s="1"/>
  <c r="J84" i="3" s="1"/>
  <c r="I47" i="3"/>
  <c r="I51" i="3"/>
  <c r="I45" i="3"/>
  <c r="I46" i="3"/>
  <c r="I48" i="3"/>
  <c r="I49" i="3"/>
  <c r="I50" i="3"/>
  <c r="I52" i="3"/>
  <c r="I53" i="3"/>
  <c r="I54" i="3"/>
  <c r="I55" i="3"/>
  <c r="I56" i="3"/>
  <c r="K46" i="3"/>
  <c r="F62" i="3" s="1"/>
  <c r="F79" i="3" s="1"/>
  <c r="H46" i="3"/>
  <c r="K47" i="3"/>
  <c r="F63" i="3" s="1"/>
  <c r="F80" i="3" s="1"/>
  <c r="H47" i="3"/>
  <c r="K48" i="3"/>
  <c r="F64" i="3" s="1"/>
  <c r="F81" i="3" s="1"/>
  <c r="H48" i="3"/>
  <c r="K49" i="3"/>
  <c r="F65" i="3" s="1"/>
  <c r="F82" i="3" s="1"/>
  <c r="H49" i="3"/>
  <c r="K50" i="3"/>
  <c r="F66" i="3" s="1"/>
  <c r="F83" i="3" s="1"/>
  <c r="H50" i="3"/>
  <c r="K51" i="3"/>
  <c r="F67" i="3" s="1"/>
  <c r="F84" i="3" s="1"/>
  <c r="H51" i="3"/>
  <c r="K54" i="3"/>
  <c r="F70" i="3" s="1"/>
  <c r="F87" i="3" s="1"/>
  <c r="H54" i="3"/>
  <c r="K52" i="3"/>
  <c r="F68" i="3" s="1"/>
  <c r="F85" i="3" s="1"/>
  <c r="H52" i="3"/>
  <c r="K55" i="3"/>
  <c r="F71" i="3" s="1"/>
  <c r="F88" i="3" s="1"/>
  <c r="H55" i="3"/>
  <c r="K56" i="3"/>
  <c r="F72" i="3" s="1"/>
  <c r="F89" i="3" s="1"/>
  <c r="H56" i="3"/>
  <c r="K52" i="2"/>
  <c r="K64" i="2" s="1"/>
  <c r="D23" i="2" s="1"/>
  <c r="E23" i="2" s="1"/>
  <c r="K46" i="2"/>
  <c r="F23" i="2"/>
  <c r="G23" i="2" s="1"/>
  <c r="E20" i="2"/>
  <c r="L46" i="2"/>
  <c r="L52" i="2"/>
  <c r="L64" i="2" s="1"/>
  <c r="D24" i="2" s="1"/>
  <c r="F24" i="2"/>
  <c r="G24" i="2" s="1"/>
  <c r="M46" i="2"/>
  <c r="M52" i="2"/>
  <c r="M64" i="2" s="1"/>
  <c r="D25" i="2" s="1"/>
  <c r="E25" i="2" s="1"/>
  <c r="F25" i="2"/>
  <c r="G25" i="2" s="1"/>
  <c r="N46" i="2"/>
  <c r="N52" i="2"/>
  <c r="N64" i="2" s="1"/>
  <c r="D26" i="2" s="1"/>
  <c r="E26" i="2" s="1"/>
  <c r="F26" i="2"/>
  <c r="G26" i="2" s="1"/>
  <c r="O52" i="2"/>
  <c r="O64" i="2" s="1"/>
  <c r="D27" i="2" s="1"/>
  <c r="E27" i="2" s="1"/>
  <c r="O46" i="2"/>
  <c r="F27" i="2"/>
  <c r="G27" i="2" s="1"/>
  <c r="D97" i="3" l="1"/>
  <c r="E97" i="3" s="1"/>
  <c r="F97" i="3"/>
  <c r="B130" i="3"/>
  <c r="D98" i="3"/>
  <c r="E98" i="3" s="1"/>
  <c r="F98" i="3"/>
  <c r="B131" i="3"/>
  <c r="B132" i="3"/>
  <c r="D99" i="3"/>
  <c r="E99" i="3" s="1"/>
  <c r="F99" i="3"/>
  <c r="B133" i="3"/>
  <c r="F100" i="3"/>
  <c r="D100" i="3"/>
  <c r="E100" i="3" s="1"/>
  <c r="D101" i="3"/>
  <c r="E101" i="3" s="1"/>
  <c r="F101" i="3"/>
  <c r="B134" i="3"/>
  <c r="D102" i="3"/>
  <c r="E102" i="3" s="1"/>
  <c r="F102" i="3"/>
  <c r="B135" i="3"/>
  <c r="D103" i="3"/>
  <c r="E103" i="3" s="1"/>
  <c r="F103" i="3"/>
  <c r="B136" i="3"/>
  <c r="D104" i="3"/>
  <c r="E104" i="3" s="1"/>
  <c r="F104" i="3"/>
  <c r="B137" i="3"/>
  <c r="B138" i="3"/>
  <c r="D105" i="3"/>
  <c r="E105" i="3" s="1"/>
  <c r="F105" i="3"/>
  <c r="G129" i="3"/>
  <c r="H129" i="3"/>
  <c r="I129" i="3"/>
  <c r="J129" i="3"/>
  <c r="F129" i="3"/>
  <c r="E129" i="3"/>
  <c r="D129" i="3"/>
  <c r="C129" i="3"/>
  <c r="F107" i="3"/>
  <c r="D107" i="3"/>
  <c r="E107" i="3" s="1"/>
  <c r="B140" i="3"/>
  <c r="D106" i="3"/>
  <c r="E106" i="3" s="1"/>
  <c r="F106" i="3"/>
  <c r="B139" i="3"/>
  <c r="D108" i="3"/>
  <c r="E108" i="3" s="1"/>
  <c r="F108" i="3"/>
  <c r="E69" i="3"/>
  <c r="E86" i="3" s="1"/>
  <c r="D69" i="3"/>
  <c r="D86" i="3" s="1"/>
  <c r="C69" i="3"/>
  <c r="C86" i="3" s="1"/>
  <c r="G25" i="3"/>
  <c r="H25" i="3" s="1"/>
  <c r="F78" i="3"/>
  <c r="F90" i="3" s="1"/>
  <c r="E25" i="3" s="1"/>
  <c r="F25" i="3" s="1"/>
  <c r="F73" i="3"/>
  <c r="E61" i="3"/>
  <c r="D61" i="3"/>
  <c r="C61" i="3"/>
  <c r="G29" i="3"/>
  <c r="H29" i="3" s="1"/>
  <c r="J73" i="3"/>
  <c r="J78" i="3"/>
  <c r="J90" i="3" s="1"/>
  <c r="E29" i="3" s="1"/>
  <c r="F29" i="3" s="1"/>
  <c r="G63" i="3"/>
  <c r="G80" i="3" s="1"/>
  <c r="H63" i="3"/>
  <c r="H80" i="3" s="1"/>
  <c r="I63" i="3"/>
  <c r="I80" i="3" s="1"/>
  <c r="G67" i="3"/>
  <c r="G84" i="3" s="1"/>
  <c r="H67" i="3"/>
  <c r="H84" i="3" s="1"/>
  <c r="I67" i="3"/>
  <c r="I84" i="3" s="1"/>
  <c r="G61" i="3"/>
  <c r="H61" i="3"/>
  <c r="I61" i="3"/>
  <c r="G62" i="3"/>
  <c r="G79" i="3" s="1"/>
  <c r="H62" i="3"/>
  <c r="H79" i="3" s="1"/>
  <c r="I62" i="3"/>
  <c r="I79" i="3" s="1"/>
  <c r="G64" i="3"/>
  <c r="G81" i="3" s="1"/>
  <c r="H64" i="3"/>
  <c r="H81" i="3" s="1"/>
  <c r="I64" i="3"/>
  <c r="I81" i="3" s="1"/>
  <c r="G65" i="3"/>
  <c r="G82" i="3" s="1"/>
  <c r="H65" i="3"/>
  <c r="H82" i="3" s="1"/>
  <c r="I65" i="3"/>
  <c r="I82" i="3" s="1"/>
  <c r="G66" i="3"/>
  <c r="G83" i="3" s="1"/>
  <c r="H66" i="3"/>
  <c r="H83" i="3" s="1"/>
  <c r="I66" i="3"/>
  <c r="I83" i="3" s="1"/>
  <c r="G68" i="3"/>
  <c r="G85" i="3" s="1"/>
  <c r="H68" i="3"/>
  <c r="H85" i="3" s="1"/>
  <c r="I68" i="3"/>
  <c r="I85" i="3" s="1"/>
  <c r="G69" i="3"/>
  <c r="G86" i="3" s="1"/>
  <c r="H69" i="3"/>
  <c r="H86" i="3" s="1"/>
  <c r="I69" i="3"/>
  <c r="I86" i="3" s="1"/>
  <c r="H70" i="3"/>
  <c r="H87" i="3" s="1"/>
  <c r="G70" i="3"/>
  <c r="G87" i="3" s="1"/>
  <c r="I70" i="3"/>
  <c r="I87" i="3" s="1"/>
  <c r="G71" i="3"/>
  <c r="G88" i="3" s="1"/>
  <c r="H71" i="3"/>
  <c r="H88" i="3" s="1"/>
  <c r="I71" i="3"/>
  <c r="I88" i="3" s="1"/>
  <c r="H72" i="3"/>
  <c r="H89" i="3" s="1"/>
  <c r="G72" i="3"/>
  <c r="G89" i="3" s="1"/>
  <c r="I72" i="3"/>
  <c r="I89" i="3" s="1"/>
  <c r="C62" i="3"/>
  <c r="C79" i="3" s="1"/>
  <c r="E62" i="3"/>
  <c r="E79" i="3" s="1"/>
  <c r="D62" i="3"/>
  <c r="D79" i="3" s="1"/>
  <c r="E63" i="3"/>
  <c r="E80" i="3" s="1"/>
  <c r="D63" i="3"/>
  <c r="D80" i="3" s="1"/>
  <c r="C63" i="3"/>
  <c r="C80" i="3" s="1"/>
  <c r="E64" i="3"/>
  <c r="E81" i="3" s="1"/>
  <c r="D64" i="3"/>
  <c r="D81" i="3" s="1"/>
  <c r="C64" i="3"/>
  <c r="C81" i="3" s="1"/>
  <c r="E65" i="3"/>
  <c r="E82" i="3" s="1"/>
  <c r="D65" i="3"/>
  <c r="D82" i="3" s="1"/>
  <c r="C65" i="3"/>
  <c r="C82" i="3" s="1"/>
  <c r="E66" i="3"/>
  <c r="E83" i="3" s="1"/>
  <c r="D66" i="3"/>
  <c r="D83" i="3" s="1"/>
  <c r="C66" i="3"/>
  <c r="C83" i="3" s="1"/>
  <c r="E67" i="3"/>
  <c r="E84" i="3" s="1"/>
  <c r="D67" i="3"/>
  <c r="D84" i="3" s="1"/>
  <c r="C67" i="3"/>
  <c r="C84" i="3" s="1"/>
  <c r="E70" i="3"/>
  <c r="E87" i="3" s="1"/>
  <c r="D70" i="3"/>
  <c r="D87" i="3" s="1"/>
  <c r="C70" i="3"/>
  <c r="C87" i="3" s="1"/>
  <c r="E68" i="3"/>
  <c r="E85" i="3" s="1"/>
  <c r="D68" i="3"/>
  <c r="D85" i="3" s="1"/>
  <c r="C68" i="3"/>
  <c r="C85" i="3" s="1"/>
  <c r="E71" i="3"/>
  <c r="E88" i="3" s="1"/>
  <c r="D71" i="3"/>
  <c r="D88" i="3" s="1"/>
  <c r="C71" i="3"/>
  <c r="C88" i="3" s="1"/>
  <c r="E72" i="3"/>
  <c r="E89" i="3" s="1"/>
  <c r="D72" i="3"/>
  <c r="D89" i="3" s="1"/>
  <c r="C72" i="3"/>
  <c r="C89" i="3" s="1"/>
  <c r="E24" i="2"/>
  <c r="C28" i="2"/>
  <c r="K107" i="3" l="1"/>
  <c r="F123" i="3" s="1"/>
  <c r="F140" i="3" s="1"/>
  <c r="H107" i="3"/>
  <c r="K106" i="3"/>
  <c r="F122" i="3" s="1"/>
  <c r="F139" i="3" s="1"/>
  <c r="H106" i="3"/>
  <c r="H104" i="3"/>
  <c r="K104" i="3"/>
  <c r="F120" i="3" s="1"/>
  <c r="F137" i="3" s="1"/>
  <c r="H105" i="3"/>
  <c r="E121" i="3" s="1"/>
  <c r="E138" i="3" s="1"/>
  <c r="K105" i="3"/>
  <c r="F121" i="3" s="1"/>
  <c r="F138" i="3" s="1"/>
  <c r="K97" i="3"/>
  <c r="F113" i="3" s="1"/>
  <c r="H97" i="3"/>
  <c r="E113" i="3" s="1"/>
  <c r="K98" i="3"/>
  <c r="F114" i="3" s="1"/>
  <c r="F131" i="3" s="1"/>
  <c r="H98" i="3"/>
  <c r="K99" i="3"/>
  <c r="F115" i="3" s="1"/>
  <c r="F132" i="3" s="1"/>
  <c r="H99" i="3"/>
  <c r="K100" i="3"/>
  <c r="F116" i="3" s="1"/>
  <c r="F133" i="3" s="1"/>
  <c r="H100" i="3"/>
  <c r="K101" i="3"/>
  <c r="F117" i="3" s="1"/>
  <c r="F134" i="3" s="1"/>
  <c r="H101" i="3"/>
  <c r="K102" i="3"/>
  <c r="F118" i="3" s="1"/>
  <c r="F135" i="3" s="1"/>
  <c r="H102" i="3"/>
  <c r="K103" i="3"/>
  <c r="F119" i="3" s="1"/>
  <c r="F136" i="3" s="1"/>
  <c r="H103" i="3"/>
  <c r="K108" i="3"/>
  <c r="F124" i="3" s="1"/>
  <c r="F141" i="3" s="1"/>
  <c r="H108" i="3"/>
  <c r="L104" i="3"/>
  <c r="J120" i="3" s="1"/>
  <c r="J137" i="3" s="1"/>
  <c r="L105" i="3"/>
  <c r="J121" i="3" s="1"/>
  <c r="J138" i="3" s="1"/>
  <c r="L97" i="3"/>
  <c r="J113" i="3" s="1"/>
  <c r="J130" i="3" s="1"/>
  <c r="L100" i="3"/>
  <c r="J116" i="3" s="1"/>
  <c r="J133" i="3" s="1"/>
  <c r="L102" i="3"/>
  <c r="J118" i="3" s="1"/>
  <c r="J135" i="3" s="1"/>
  <c r="L103" i="3"/>
  <c r="J119" i="3" s="1"/>
  <c r="J136" i="3" s="1"/>
  <c r="L99" i="3"/>
  <c r="J115" i="3" s="1"/>
  <c r="J132" i="3" s="1"/>
  <c r="L108" i="3"/>
  <c r="J124" i="3" s="1"/>
  <c r="J141" i="3" s="1"/>
  <c r="L107" i="3"/>
  <c r="J123" i="3" s="1"/>
  <c r="J140" i="3" s="1"/>
  <c r="I108" i="3"/>
  <c r="L98" i="3"/>
  <c r="J114" i="3" s="1"/>
  <c r="L106" i="3"/>
  <c r="J122" i="3" s="1"/>
  <c r="J139" i="3" s="1"/>
  <c r="L101" i="3"/>
  <c r="J117" i="3" s="1"/>
  <c r="J134" i="3" s="1"/>
  <c r="I97" i="3"/>
  <c r="I98" i="3"/>
  <c r="G114" i="3" s="1"/>
  <c r="G131" i="3" s="1"/>
  <c r="I99" i="3"/>
  <c r="I100" i="3"/>
  <c r="I101" i="3"/>
  <c r="I102" i="3"/>
  <c r="I103" i="3"/>
  <c r="I104" i="3"/>
  <c r="I105" i="3"/>
  <c r="I106" i="3"/>
  <c r="I107" i="3"/>
  <c r="G24" i="3"/>
  <c r="H24" i="3" s="1"/>
  <c r="E73" i="3"/>
  <c r="E78" i="3"/>
  <c r="E90" i="3" s="1"/>
  <c r="E24" i="3" s="1"/>
  <c r="F24" i="3" s="1"/>
  <c r="G23" i="3"/>
  <c r="H23" i="3" s="1"/>
  <c r="D73" i="3"/>
  <c r="D78" i="3"/>
  <c r="D90" i="3" s="1"/>
  <c r="E23" i="3" s="1"/>
  <c r="F23" i="3" s="1"/>
  <c r="G22" i="3"/>
  <c r="H22" i="3" s="1"/>
  <c r="C73" i="3"/>
  <c r="C78" i="3"/>
  <c r="C90" i="3" s="1"/>
  <c r="E22" i="3" s="1"/>
  <c r="G26" i="3"/>
  <c r="H26" i="3" s="1"/>
  <c r="G73" i="3"/>
  <c r="G78" i="3"/>
  <c r="G90" i="3" s="1"/>
  <c r="E26" i="3" s="1"/>
  <c r="F26" i="3" s="1"/>
  <c r="G27" i="3"/>
  <c r="H27" i="3" s="1"/>
  <c r="H73" i="3"/>
  <c r="H78" i="3"/>
  <c r="H90" i="3" s="1"/>
  <c r="E27" i="3" s="1"/>
  <c r="F27" i="3" s="1"/>
  <c r="G28" i="3"/>
  <c r="H28" i="3" s="1"/>
  <c r="I73" i="3"/>
  <c r="I78" i="3"/>
  <c r="I90" i="3" s="1"/>
  <c r="E28" i="3" s="1"/>
  <c r="F28" i="3" s="1"/>
  <c r="F130" i="3" l="1"/>
  <c r="F142" i="3" s="1"/>
  <c r="E33" i="3" s="1"/>
  <c r="F33" i="3" s="1"/>
  <c r="F125" i="3"/>
  <c r="G33" i="3"/>
  <c r="H33" i="3" s="1"/>
  <c r="E123" i="3"/>
  <c r="E140" i="3" s="1"/>
  <c r="D123" i="3"/>
  <c r="D140" i="3" s="1"/>
  <c r="C123" i="3"/>
  <c r="C140" i="3" s="1"/>
  <c r="E122" i="3"/>
  <c r="E139" i="3" s="1"/>
  <c r="D122" i="3"/>
  <c r="D139" i="3" s="1"/>
  <c r="C122" i="3"/>
  <c r="C139" i="3" s="1"/>
  <c r="D113" i="3"/>
  <c r="D130" i="3" s="1"/>
  <c r="C113" i="3"/>
  <c r="C130" i="3" s="1"/>
  <c r="D121" i="3"/>
  <c r="D138" i="3" s="1"/>
  <c r="C121" i="3"/>
  <c r="C138" i="3" s="1"/>
  <c r="E120" i="3"/>
  <c r="E137" i="3" s="1"/>
  <c r="D120" i="3"/>
  <c r="D137" i="3" s="1"/>
  <c r="C120" i="3"/>
  <c r="C137" i="3" s="1"/>
  <c r="E114" i="3"/>
  <c r="E131" i="3" s="1"/>
  <c r="D114" i="3"/>
  <c r="D131" i="3" s="1"/>
  <c r="C114" i="3"/>
  <c r="C131" i="3" s="1"/>
  <c r="E115" i="3"/>
  <c r="E132" i="3" s="1"/>
  <c r="D115" i="3"/>
  <c r="D132" i="3" s="1"/>
  <c r="C115" i="3"/>
  <c r="C132" i="3" s="1"/>
  <c r="E116" i="3"/>
  <c r="E133" i="3" s="1"/>
  <c r="D116" i="3"/>
  <c r="D133" i="3" s="1"/>
  <c r="C116" i="3"/>
  <c r="C133" i="3" s="1"/>
  <c r="E117" i="3"/>
  <c r="E134" i="3" s="1"/>
  <c r="D117" i="3"/>
  <c r="D134" i="3" s="1"/>
  <c r="C117" i="3"/>
  <c r="C134" i="3" s="1"/>
  <c r="E118" i="3"/>
  <c r="E135" i="3" s="1"/>
  <c r="D118" i="3"/>
  <c r="D135" i="3" s="1"/>
  <c r="C118" i="3"/>
  <c r="C135" i="3" s="1"/>
  <c r="E119" i="3"/>
  <c r="E136" i="3" s="1"/>
  <c r="D119" i="3"/>
  <c r="D136" i="3" s="1"/>
  <c r="C119" i="3"/>
  <c r="C136" i="3" s="1"/>
  <c r="G37" i="3"/>
  <c r="H37" i="3" s="1"/>
  <c r="G113" i="3"/>
  <c r="G130" i="3" s="1"/>
  <c r="H113" i="3"/>
  <c r="H130" i="3" s="1"/>
  <c r="I113" i="3"/>
  <c r="I130" i="3" s="1"/>
  <c r="J131" i="3"/>
  <c r="J142" i="3" s="1"/>
  <c r="E37" i="3" s="1"/>
  <c r="F37" i="3" s="1"/>
  <c r="J125" i="3"/>
  <c r="C124" i="3"/>
  <c r="D124" i="3"/>
  <c r="E124" i="3"/>
  <c r="I124" i="3"/>
  <c r="I141" i="3" s="1"/>
  <c r="H124" i="3"/>
  <c r="H141" i="3" s="1"/>
  <c r="G124" i="3"/>
  <c r="G141" i="3" s="1"/>
  <c r="H114" i="3"/>
  <c r="H131" i="3" s="1"/>
  <c r="I114" i="3"/>
  <c r="I131" i="3" s="1"/>
  <c r="I115" i="3"/>
  <c r="I132" i="3" s="1"/>
  <c r="H115" i="3"/>
  <c r="H132" i="3" s="1"/>
  <c r="G115" i="3"/>
  <c r="I116" i="3"/>
  <c r="I133" i="3" s="1"/>
  <c r="H116" i="3"/>
  <c r="H133" i="3" s="1"/>
  <c r="G116" i="3"/>
  <c r="G133" i="3" s="1"/>
  <c r="G117" i="3"/>
  <c r="G134" i="3" s="1"/>
  <c r="H117" i="3"/>
  <c r="H134" i="3" s="1"/>
  <c r="I117" i="3"/>
  <c r="I134" i="3" s="1"/>
  <c r="G118" i="3"/>
  <c r="G135" i="3" s="1"/>
  <c r="H118" i="3"/>
  <c r="H135" i="3" s="1"/>
  <c r="I118" i="3"/>
  <c r="I135" i="3" s="1"/>
  <c r="H119" i="3"/>
  <c r="H136" i="3" s="1"/>
  <c r="I119" i="3"/>
  <c r="I136" i="3" s="1"/>
  <c r="G119" i="3"/>
  <c r="G136" i="3" s="1"/>
  <c r="G120" i="3"/>
  <c r="G137" i="3" s="1"/>
  <c r="H120" i="3"/>
  <c r="H137" i="3" s="1"/>
  <c r="I120" i="3"/>
  <c r="I137" i="3" s="1"/>
  <c r="I121" i="3"/>
  <c r="I138" i="3" s="1"/>
  <c r="G121" i="3"/>
  <c r="G138" i="3" s="1"/>
  <c r="H121" i="3"/>
  <c r="H138" i="3" s="1"/>
  <c r="G122" i="3"/>
  <c r="G139" i="3" s="1"/>
  <c r="H122" i="3"/>
  <c r="I122" i="3"/>
  <c r="G123" i="3"/>
  <c r="G140" i="3" s="1"/>
  <c r="H123" i="3"/>
  <c r="H140" i="3" s="1"/>
  <c r="I123" i="3"/>
  <c r="I140" i="3" s="1"/>
  <c r="F22" i="3"/>
  <c r="E130" i="3"/>
  <c r="C141" i="3" l="1"/>
  <c r="C142" i="3" s="1"/>
  <c r="E30" i="3" s="1"/>
  <c r="F30" i="3" s="1"/>
  <c r="G30" i="3"/>
  <c r="H30" i="3" s="1"/>
  <c r="C125" i="3"/>
  <c r="D141" i="3"/>
  <c r="D142" i="3" s="1"/>
  <c r="E31" i="3" s="1"/>
  <c r="G31" i="3"/>
  <c r="H31" i="3" s="1"/>
  <c r="D125" i="3"/>
  <c r="E141" i="3"/>
  <c r="E142" i="3" s="1"/>
  <c r="E32" i="3" s="1"/>
  <c r="F32" i="3" s="1"/>
  <c r="G32" i="3"/>
  <c r="H32" i="3" s="1"/>
  <c r="E125" i="3"/>
  <c r="G132" i="3"/>
  <c r="G142" i="3" s="1"/>
  <c r="E34" i="3" s="1"/>
  <c r="F34" i="3" s="1"/>
  <c r="G34" i="3"/>
  <c r="H34" i="3" s="1"/>
  <c r="G125" i="3"/>
  <c r="H139" i="3"/>
  <c r="H142" i="3" s="1"/>
  <c r="E35" i="3" s="1"/>
  <c r="F35" i="3" s="1"/>
  <c r="G35" i="3"/>
  <c r="H35" i="3" s="1"/>
  <c r="H125" i="3"/>
  <c r="I139" i="3"/>
  <c r="I142" i="3" s="1"/>
  <c r="E36" i="3" s="1"/>
  <c r="F36" i="3" s="1"/>
  <c r="G36" i="3"/>
  <c r="H36" i="3" s="1"/>
  <c r="I125" i="3"/>
  <c r="F31" i="3" l="1"/>
  <c r="D38" i="3"/>
</calcChain>
</file>

<file path=xl/sharedStrings.xml><?xml version="1.0" encoding="utf-8"?>
<sst xmlns="http://schemas.openxmlformats.org/spreadsheetml/2006/main" count="300" uniqueCount="151">
  <si>
    <t>APR calculator: how to use this workbook</t>
  </si>
  <si>
    <t>What it does</t>
  </si>
  <si>
    <t>For a £1,200 credit repaid over 12 months, this workbook finds the APR in 8 scenarios: 2 repayment methods × 4 fee timings. It does the same calculation as the web chart.</t>
  </si>
  <si>
    <t>It has two calculator sheets:</t>
  </si>
  <si>
    <t xml:space="preserve">    Monthly: every month counts as 1/12 of a year (365/12 days). 8 APRs.</t>
  </si>
  <si>
    <t xml:space="preserve">    Daily: real calendar dates from a start date you choose, worked out for a non-leap year and a leap year. 16 APRs.</t>
  </si>
  <si>
    <t>Step 1: enter your values</t>
  </si>
  <si>
    <t>On the "Monthly" or "Daily" sheet, edit only the yellow cells with blue text. The purchase rate and the yearly fee can be any number that is 0 or more.</t>
  </si>
  <si>
    <t>The Daily sheet also has a start date, entered as the day of the year (1–365, counted in a non-leap year). The sheet shows the matching month and day of the month. The year does not matter.</t>
  </si>
  <si>
    <t>Orange cells are the APRs. Solver writes them. Black cells are formulas: do not edit them.</t>
  </si>
  <si>
    <t>Step 2: turn on the Solver add-in (one time only)</t>
  </si>
  <si>
    <t>Solver is a free add-in from Microsoft that comes with Excel. It is not a macro.</t>
  </si>
  <si>
    <t>Windows: File &gt; Options &gt; Add-ins &gt; Manage: Excel Add-ins &gt; Go &gt; tick "Solver Add-in" &gt; OK.</t>
  </si>
  <si>
    <t>Mac: Tools &gt; Excel Add-ins &gt; tick "Solver Add-in" &gt; OK.</t>
  </si>
  <si>
    <t>Then "Solver" shows on the Data tab, in the Analyze group (Windows) or at the right of the Data tab (Mac).</t>
  </si>
  <si>
    <t>Step 3: run Solver</t>
  </si>
  <si>
    <t>Go to the sheet you want to calculate. Click Data &gt; Solver. Each sheet has its own saved model, already filled in. Click Solve, then OK to keep the solution.</t>
  </si>
  <si>
    <t>All Status cells then show "Solved". If you change an input, the status changes to "Run Solver": run it again.</t>
  </si>
  <si>
    <t>If the Solver box is empty, enter the model yourself, then tick "Make Unconstrained Variables Non-Negative" and choose GRG Nonlinear:</t>
  </si>
  <si>
    <t xml:space="preserve">    Monthly sheet: Set Objective $C$28 To Min, By Changing $C$20:$C$27, Subject to $D$20:$D$27 = 0.</t>
  </si>
  <si>
    <t xml:space="preserve">    Daily sheet: Set Objective $D$38 To Min, By Changing $D$22:$D$37, Subject to $E$22:$E$37 = 0.</t>
  </si>
  <si>
    <t xml:space="preserve">    Optional, for more precision: Options &gt; Constraint Precision 0.000001.</t>
  </si>
  <si>
    <t>Optional: a slider for the Daily start date</t>
  </si>
  <si>
    <t>Excel has a Scroll Bar form control that can drive a cell, like a slider. It needs no macro and the file stays an .xlsx.</t>
  </si>
  <si>
    <t>1. Show the Developer tab. Windows: File &gt; Options &gt; Customize Ribbon &gt; tick Developer. Mac: Excel &gt; Preferences &gt; Ribbon &amp; Toolbar &gt; tick Developer.</t>
  </si>
  <si>
    <t>2. Developer &gt; Insert &gt; Form Controls &gt; Scroll Bar, then drag it onto the Daily sheet next to the day of the year (B8).</t>
  </si>
  <si>
    <t>3. Right-click the scroll bar &gt; Format Control &gt; Control. Set Minimum 1, Maximum 365, Incremental change 1, Page change 30, Cell link $B$8. Click OK.</t>
  </si>
  <si>
    <t>Moving the scroll bar writes the day of the year into B8; the month, day of the month and both start dates update. Then run Solver again. Use the Form Controls scroll bar, not the ActiveX one: ActiveX controls are Windows-only and are blocked by many security settings. Form controls may not be available in Excel for the web.</t>
  </si>
  <si>
    <t>How the calculation works</t>
  </si>
  <si>
    <t>Straight-line: you pay back the same capital every month, plus interest on the balance at the start of the month. The repayments get smaller each month.</t>
  </si>
  <si>
    <t>Annuity: you pay the same amount every month. It covers the interest and clears the credit after 12 months.</t>
  </si>
  <si>
    <t>Fee timing A: the yearly fee is charged at the start (month 0). You receive the credit minus the fee.</t>
  </si>
  <si>
    <t>Fee timing B: the yearly fee is charged with the last repayment (month 12).</t>
  </si>
  <si>
    <t>Fee timing C: the yearly fee is divided into 12 equal parts, added to each monthly repayment.</t>
  </si>
  <si>
    <t>Fee timing D: the yearly fee is added to the card balance on day one. You receive only the credit, but you repay the credit plus the fee, with interest on both, by the chosen method. This is how UK card issuers such as HSBC appear to build their representative APR: £1,200 credit, £290 fee and a 2.209% monthly rate give 99.99% on the Monthly sheet and about 99.5%–100.8% on the Daily sheet, close to the advertised 100.2%.</t>
  </si>
  <si>
    <t>APR: the yearly rate at which the present value of all cash flows is 0. Solver changes the APRs until every NPV is 0. It minimises the sum of the squared NPVs, with the constraint that each NPV is 0. Each sheet lists every cash flow and present value.</t>
  </si>
  <si>
    <t>Monthly sheet</t>
  </si>
  <si>
    <t>Monthly rate: (1 + purchase rate)^(1/12) − 1. Compounded over 12 months, it gives the purchase rate.</t>
  </si>
  <si>
    <t>A cash flow in month m is multiplied by (1 + APR)^(−m/12).</t>
  </si>
  <si>
    <t>Cross-check: the "APR from IRR" column uses Excel's IRR function. The monthly IRR, compounded over 12 months, is the APR. It needs no Solver and must agree with the Solver result.</t>
  </si>
  <si>
    <t>This is the same as the web chart's monthly mode.</t>
  </si>
  <si>
    <t>Daily sheet</t>
  </si>
  <si>
    <t>Payments are monthly, on the same day of the month as the start date. When a month is shorter, the payment falls on its last day (31 January is followed by 28 or 29 February).</t>
  </si>
  <si>
    <t>Non-leap year: the 12 months start in 2025, so they contain no 29 February (365 days).</t>
  </si>
  <si>
    <t>Leap year: the 12 months start in 2028 for January and February start dates, and in 2027 for later ones, so they always contain 29 February 2028 (366 days).</t>
  </si>
  <si>
    <t>Interest for a period: (1 + purchase rate)^(days in the period / 365) − 1.</t>
  </si>
  <si>
    <t>Annuity: the balance divided by the sum of each payment's discount factor, (1 + purchase rate)^(−days / 365). This keeps the 12 payments equal although the months have different lengths.</t>
  </si>
  <si>
    <t>A cash flow on day d after the start is multiplied by (1 + APR)^(−d/365). A year counts as 365 days, in a leap year too.</t>
  </si>
  <si>
    <t>Cross-check: the "APR from XIRR" column uses Excel's XIRR function on the same cash flows and dates. XIRR also counts days / 365, so it must agree with the Solver result.</t>
  </si>
  <si>
    <t>This is the same as the web chart's daily mode.</t>
  </si>
  <si>
    <t>Limits</t>
  </si>
  <si>
    <t>The term is fixed at 12 months.</t>
  </si>
  <si>
    <t>Fee timing A has no APR when the fee is the same as or more than the credit: you receive nothing at the start, so no interest rate can balance the payments. The status cell then says so. Solver cannot solve those rows, but the other rows are still correct when their status is "Solved".</t>
  </si>
  <si>
    <t>Very high APRs (thousands of percent) are correct but sensitive: if a status stays "Run Solver", run Solver again.</t>
  </si>
  <si>
    <t>Security</t>
  </si>
  <si>
    <t>This is an .xlsx file. The .xlsx format cannot contain macros or VBA code.</t>
  </si>
  <si>
    <t>It has no links to other files, no data connections and no external content.</t>
  </si>
  <si>
    <t>Each Solver model is saved as hidden named settings (solver_...) on its sheet. That is how Excel always stores a Solver model. They are settings, not code.</t>
  </si>
  <si>
    <t>Monthly calculator: 8 scenarios, every month is 1/12 of a year</t>
  </si>
  <si>
    <t>Edit the yellow cells, then run Data &gt; Solver &gt; Solve. See the "Read me" sheet for the full explanation.</t>
  </si>
  <si>
    <t>Inputs</t>
  </si>
  <si>
    <t>Purchase rate (yearly)</t>
  </si>
  <si>
    <t>Any non-negative rate. Example: 29.1%. Stored as a fraction (0.291).</t>
  </si>
  <si>
    <t>Yearly fee (£)</t>
  </si>
  <si>
    <t>Any non-negative amount. Example: £650.</t>
  </si>
  <si>
    <t>Credit taken (£)</t>
  </si>
  <si>
    <t>Assumption: £1,200, the same as the web calculator. You can change it.</t>
  </si>
  <si>
    <t>Term (months)</t>
  </si>
  <si>
    <t>Fixed: the cash flow tables below have 12 monthly rows.</t>
  </si>
  <si>
    <t>Derived values</t>
  </si>
  <si>
    <t>Monthly rate</t>
  </si>
  <si>
    <t>The monthly rate that compounds to the purchase rate over 12 months.</t>
  </si>
  <si>
    <t>Monthly capital (straight-line)</t>
  </si>
  <si>
    <t>Straight-line pays back the same capital every month.</t>
  </si>
  <si>
    <t>Annuity repayment (monthly)</t>
  </si>
  <si>
    <t>The fixed monthly payment that clears the credit in 12 months. At 0% it is capital only.</t>
  </si>
  <si>
    <t>Balance with fee added (timing D)</t>
  </si>
  <si>
    <t>Timing D adds the fee to the balance on day one. You still receive only the credit taken.</t>
  </si>
  <si>
    <t>Monthly capital, fee added (timing D)</t>
  </si>
  <si>
    <t>Straight-line capital when the fee is part of the balance.</t>
  </si>
  <si>
    <t>Annuity repayment, fee added (timing D)</t>
  </si>
  <si>
    <t>The fixed monthly payment that clears the credit and the fee, with interest, in 12 months.</t>
  </si>
  <si>
    <t>Results</t>
  </si>
  <si>
    <t>Method</t>
  </si>
  <si>
    <t>Fee timing</t>
  </si>
  <si>
    <t>APR
(Solver changes this)</t>
  </si>
  <si>
    <t>NPV at this APR (£)
(target: 0)</t>
  </si>
  <si>
    <t>Status</t>
  </si>
  <si>
    <t>Cross-check:
APR from IRR</t>
  </si>
  <si>
    <t>Difference</t>
  </si>
  <si>
    <t>Straight-line</t>
  </si>
  <si>
    <t>A: fee at the start (t0)</t>
  </si>
  <si>
    <t>B: fee in the last month (t12)</t>
  </si>
  <si>
    <t>C: fee spread over 12 months</t>
  </si>
  <si>
    <t>D: fee added to the balance, repaid with interest</t>
  </si>
  <si>
    <t>Annuity</t>
  </si>
  <si>
    <t>Solver objective: sum of squared NPVs</t>
  </si>
  <si>
    <t>Solver minimises this cell while it keeps every NPV at 0.</t>
  </si>
  <si>
    <t>Orange cells are written by Solver. The cross-check uses Excel's IRR function and needs no Solver; the difference shows that both methods give the same APR.</t>
  </si>
  <si>
    <t>Cash flows (borrower's view: money received is positive, money paid is negative)</t>
  </si>
  <si>
    <t>Month</t>
  </si>
  <si>
    <t>Opening balance
(straight-line)</t>
  </si>
  <si>
    <t>Straight-line
repayment</t>
  </si>
  <si>
    <t>Annuity
repayment</t>
  </si>
  <si>
    <t>Opening balance
(straight-line,
fee added)</t>
  </si>
  <si>
    <t>Straight-line
repayment
(fee added)</t>
  </si>
  <si>
    <t>Annuity
repayment
(fee added)</t>
  </si>
  <si>
    <t>Straight-line
A: fee at t0</t>
  </si>
  <si>
    <t>Straight-line
B: fee at t12</t>
  </si>
  <si>
    <t>Straight-line
C: fee monthly</t>
  </si>
  <si>
    <t>Straight-line
D: fee added</t>
  </si>
  <si>
    <t>Annuity
A: fee at t0</t>
  </si>
  <si>
    <t>Annuity
B: fee at t12</t>
  </si>
  <si>
    <t>Annuity
C: fee monthly</t>
  </si>
  <si>
    <t>Annuity
D: fee added</t>
  </si>
  <si>
    <t>Total</t>
  </si>
  <si>
    <t>The totals of the eight scenario columns are the cost of the credit at an APR of 0%: interest plus the yearly fee (and, for D, interest on the fee), shown as a negative number.</t>
  </si>
  <si>
    <t>Present values: each cash flow × (1 + APR)^(−month / 12), at the scenario's APR in the results table</t>
  </si>
  <si>
    <t>Each column uses the APR of its scenario in the results table</t>
  </si>
  <si>
    <t>NPV</t>
  </si>
  <si>
    <t>The APR is the rate at which the NPV is 0: the present value of everything paid equals the credit received.</t>
  </si>
  <si>
    <t>Daily calculator: real calendar dates, for a non-leap and a leap year</t>
  </si>
  <si>
    <t>Edit the yellow cells, then run Data &gt; Solver &gt; Solve on this sheet. See the "Read me" sheet for the full explanation.</t>
  </si>
  <si>
    <t>Start date: day of the year (1–365)</t>
  </si>
  <si>
    <t>Day of the drawdown, counted in a non-leap year: 1 is 1 January, 60 is 1 March, 365 is 31 December. The year does not matter: the sheet works out both a non-leap and a leap year. A scroll bar can drive this cell.</t>
  </si>
  <si>
    <t>Start month (calculated)</t>
  </si>
  <si>
    <t>Start day of the month (calculated)</t>
  </si>
  <si>
    <t>Start date, non-leap year</t>
  </si>
  <si>
    <t>The 12 months from this date contain no 29 February.</t>
  </si>
  <si>
    <t>Start date, leap year</t>
  </si>
  <si>
    <t>The 12 months from this date contain 29 February 2028.</t>
  </si>
  <si>
    <t>Days in the non-leap year</t>
  </si>
  <si>
    <t>Days in the leap year</t>
  </si>
  <si>
    <t>Year</t>
  </si>
  <si>
    <t>Cross-check:
APR from XIRR</t>
  </si>
  <si>
    <t>Non-leap year</t>
  </si>
  <si>
    <t>Leap year</t>
  </si>
  <si>
    <t>Orange cells are written by Solver. The cross-check uses Excel's XIRR function, which also counts days / 365, and needs no Solver.</t>
  </si>
  <si>
    <t>Non-leap year: payment dates and repayments</t>
  </si>
  <si>
    <t>Payment date</t>
  </si>
  <si>
    <t>Days since
start</t>
  </si>
  <si>
    <t>Days in
period</t>
  </si>
  <si>
    <t>Interest rate
for the period</t>
  </si>
  <si>
    <t>Discount factor
at the purchase rate</t>
  </si>
  <si>
    <t>Interest for a period = (1 + purchase rate)^(days in period / 365) − 1. The annuity repayment is the balance divided by the sum of the discount factors, so the 12 equal payments clear it even though the months have different lengths.</t>
  </si>
  <si>
    <t>Non-leap year: cash flows (money received is positive, money paid is negative)</t>
  </si>
  <si>
    <t>Date</t>
  </si>
  <si>
    <t>Non-leap year: present values, each cash flow × (1 + APR)^(−days since start / 365)</t>
  </si>
  <si>
    <t>Leap year: payment dates and repayments</t>
  </si>
  <si>
    <t>Leap year: cash flows (money received is positive, money paid is negative)</t>
  </si>
  <si>
    <t>Leap year: present values, each cash flow × (1 + APR)^(−days since start / 365)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</si>
</sst>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00;\-"/>
    <numFmt numFmtId="165" formatCode="0.000000%"/>
    <numFmt numFmtId="166" formatCode="0.0000%;\-0.0000%;\-"/>
    <numFmt numFmtId="167" formatCode="0.000000"/>
    <numFmt numFmtId="168" formatCode="d\ mmm\ yyyy"/>
  </numFmts>
  <fonts count="7" x14ac:knownFonts="1">
    <font>
      <sz val="11"/>
      <color theme="1"/>
      <name val="Calibri"/>
      <family val="2"/>
      <scheme val="minor"/>
    </font>
    <font>
      <b/>
      <sz val="14"/>
      <name val="Arial"/>
      <family val="2"/>
    </font>
    <font>
      <i/>
      <sz val="9"/>
      <color rgb="FF555555"/>
      <name val="Arial"/>
      <family val="2"/>
    </font>
    <font>
      <b/>
      <sz val="11"/>
      <name val="Arial"/>
      <family val="2"/>
    </font>
    <font>
      <sz val="10"/>
      <name val="Arial"/>
      <family val="2"/>
    </font>
    <font>
      <sz val="10"/>
      <color rgb="FF0000FF"/>
      <name val="Arial"/>
      <family val="2"/>
    </font>
    <font>
      <b/>
      <sz val="10"/>
      <name val="Arial"/>
      <family val="2"/>
    </font>
  </fonts>
  <fills count="5">
    <fill>
      <patternFill patternType="none"/>
    </fill>
    <fill>
      <patternFill patternType="gray125"/>
    </fill>
    <fill>
      <patternFill patternType="solid">
        <fgColor rgb="FFFFFF00"/>
      </patternFill>
    </fill>
    <fill>
      <patternFill patternType="solid">
        <fgColor rgb="FFD9E1F2"/>
      </patternFill>
    </fill>
    <fill>
      <patternFill patternType="solid">
        <fgColor rgb="FFFCE4D6"/>
      </patternFill>
    </fill>
  </fills>
  <borders count="4">
    <border>
      <left/>
      <right/>
      <top/>
      <bottom/>
      <diagonal/>
    </border>
    <border>
      <left style="thin">
        <color rgb="FFBFBFBF"/>
      </left>
      <right style="thin">
        <color rgb="FFBFBFBF"/>
      </right>
      <top style="thin">
        <color rgb="FFBFBFBF"/>
      </top>
      <bottom style="thin">
        <color rgb="FFBFBFBF"/>
      </bottom>
      <diagonal/>
    </border>
    <border>
      <left/>
      <right/>
      <top style="thin">
        <color rgb="FFBFBFBF"/>
      </top>
      <bottom style="thin">
        <color rgb="FFBFBFBF"/>
      </bottom>
      <diagonal/>
    </border>
    <border>
      <left/>
      <right style="thin">
        <color rgb="FFBFBFBF"/>
      </right>
      <top style="thin">
        <color rgb="FFBFBFBF"/>
      </top>
      <bottom style="thin">
        <color rgb="FFBFBFBF"/>
      </bottom>
      <diagonal/>
    </border>
  </borders>
  <cellStyleXfs count="1">
    <xf numFmtId="0" fontId="0" fillId="0" borderId="0"/>
  </cellStyleXfs>
  <cellXfs count="27">
    <xf numFmtId="0" fontId="0" fillId="0" borderId="0" xfId="0"/>
    <xf numFmtId="0" fontId="1" fillId="0" borderId="0" xfId="0" applyFont="1" applyAlignment="1">
      <alignment vertical="top" wrapText="1"/>
    </xf>
    <xf numFmtId="0" fontId="4" fillId="0" borderId="0" xfId="0" applyFont="1" applyAlignment="1">
      <alignment vertical="top" wrapText="1"/>
    </xf>
    <xf numFmtId="0" fontId="3" fillId="0" borderId="0" xfId="0" applyFont="1" applyAlignment="1">
      <alignment vertical="top" wrapText="1"/>
    </xf>
    <xf numFmtId="0" fontId="1" fillId="0" borderId="0" xfId="0" applyFont="1"/>
    <xf numFmtId="0" fontId="2" fillId="0" borderId="0" xfId="0" applyFont="1"/>
    <xf numFmtId="0" fontId="3" fillId="0" borderId="0" xfId="0" applyFont="1"/>
    <xf numFmtId="0" fontId="4" fillId="0" borderId="0" xfId="0" applyFont="1"/>
    <xf numFmtId="10" fontId="5" fillId="2" borderId="1" xfId="0" applyNumberFormat="1" applyFont="1" applyFill="1" applyBorder="1"/>
    <xf numFmtId="164" fontId="5" fillId="2" borderId="1" xfId="0" applyNumberFormat="1" applyFont="1" applyFill="1" applyBorder="1"/>
    <xf numFmtId="1" fontId="4" fillId="0" borderId="1" xfId="0" applyNumberFormat="1" applyFont="1" applyBorder="1"/>
    <xf numFmtId="165" fontId="4" fillId="0" borderId="1" xfId="0" applyNumberFormat="1" applyFont="1" applyBorder="1"/>
    <xf numFmtId="164" fontId="4" fillId="0" borderId="1" xfId="0" applyNumberFormat="1" applyFont="1" applyBorder="1"/>
    <xf numFmtId="0" fontId="6" fillId="3" borderId="1" xfId="0" applyFont="1" applyFill="1" applyBorder="1" applyAlignment="1">
      <alignment horizontal="center" vertical="center" wrapText="1"/>
    </xf>
    <xf numFmtId="0" fontId="4" fillId="0" borderId="1" xfId="0" applyFont="1" applyBorder="1"/>
    <xf numFmtId="10" fontId="5" fillId="4" borderId="1" xfId="0" applyNumberFormat="1" applyFont="1" applyFill="1" applyBorder="1"/>
    <xf numFmtId="10" fontId="4" fillId="0" borderId="1" xfId="0" applyNumberFormat="1" applyFont="1" applyBorder="1"/>
    <xf numFmtId="166" fontId="4" fillId="0" borderId="1" xfId="0" applyNumberFormat="1" applyFont="1" applyBorder="1"/>
    <xf numFmtId="0" fontId="6" fillId="0" borderId="0" xfId="0" applyFont="1"/>
    <xf numFmtId="167" fontId="4" fillId="0" borderId="1" xfId="0" applyNumberFormat="1" applyFont="1" applyBorder="1"/>
    <xf numFmtId="0" fontId="6" fillId="0" borderId="1" xfId="0" applyFont="1" applyBorder="1"/>
    <xf numFmtId="164" fontId="6" fillId="0" borderId="1" xfId="0" applyNumberFormat="1" applyFont="1" applyBorder="1"/>
    <xf numFmtId="1" fontId="5" fillId="2" borderId="1" xfId="0" applyNumberFormat="1" applyFont="1" applyFill="1" applyBorder="1"/>
    <xf numFmtId="168" fontId="4" fillId="0" borderId="1" xfId="0" applyNumberFormat="1" applyFont="1" applyBorder="1"/>
    <xf numFmtId="0" fontId="6" fillId="3" borderId="1" xfId="0" applyFont="1" applyFill="1" applyBorder="1" applyAlignment="1">
      <alignment horizontal="center" vertical="center" wrapText="1"/>
    </xf>
    <xf numFmtId="0" fontId="0" fillId="0" borderId="2" xfId="0" applyBorder="1"/>
    <xf numFmtId="0" fontId="0" fillId="0" borderId="3" xfId="0"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Scroll" dx="15" fmlaLink="$B$8" horiz="1" max="365" page="10" val="253"/>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127000</xdr:colOff>
          <xdr:row>8</xdr:row>
          <xdr:rowOff>50800</xdr:rowOff>
        </xdr:from>
        <xdr:to>
          <xdr:col>7</xdr:col>
          <xdr:colOff>355600</xdr:colOff>
          <xdr:row>10</xdr:row>
          <xdr:rowOff>50800</xdr:rowOff>
        </xdr:to>
        <xdr:sp macro="" textlink="">
          <xdr:nvSpPr>
            <xdr:cNvPr id="1028" name="Scroll Bar 4" hidden="1">
              <a:extLst>
                <a:ext uri="{63B3BB69-23CF-44E3-9099-C40C66FF867C}">
                  <a14:compatExt spid="_x0000_s1028"/>
                </a:ext>
                <a:ext uri="{FF2B5EF4-FFF2-40B4-BE49-F238E27FC236}">
                  <a16:creationId xmlns:a16="http://schemas.microsoft.com/office/drawing/2014/main" id="{3F86BF9A-ADAC-FBF5-6734-FC2DA0AA378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3" Type="http://schemas.openxmlformats.org/officeDocument/2006/relationships/ctrlProp" Target="../ctrlProps/ctrlProp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68"/>
  <sheetViews>
    <sheetView workbookViewId="0">
      <selection activeCell="A31" sqref="A31"/>
    </sheetView>
  </sheetViews>
  <sheetFormatPr baseColWidth="10" defaultColWidth="8.83203125" defaultRowHeight="15" x14ac:dyDescent="0.2"/>
  <cols>
    <col min="1" max="1" width="110" customWidth="1"/>
  </cols>
  <sheetData>
    <row r="1" spans="1:1" ht="19" x14ac:dyDescent="0.2">
      <c r="A1" s="1" t="s">
        <v>0</v>
      </c>
    </row>
    <row r="2" spans="1:1" x14ac:dyDescent="0.2">
      <c r="A2" s="2"/>
    </row>
    <row r="3" spans="1:1" x14ac:dyDescent="0.2">
      <c r="A3" s="3" t="s">
        <v>1</v>
      </c>
    </row>
    <row r="4" spans="1:1" ht="28" x14ac:dyDescent="0.2">
      <c r="A4" s="2" t="s">
        <v>2</v>
      </c>
    </row>
    <row r="5" spans="1:1" x14ac:dyDescent="0.2">
      <c r="A5" s="2" t="s">
        <v>3</v>
      </c>
    </row>
    <row r="6" spans="1:1" x14ac:dyDescent="0.2">
      <c r="A6" s="2" t="s">
        <v>4</v>
      </c>
    </row>
    <row r="7" spans="1:1" x14ac:dyDescent="0.2">
      <c r="A7" s="2" t="s">
        <v>5</v>
      </c>
    </row>
    <row r="8" spans="1:1" x14ac:dyDescent="0.2">
      <c r="A8" s="2"/>
    </row>
    <row r="9" spans="1:1" x14ac:dyDescent="0.2">
      <c r="A9" s="3" t="s">
        <v>6</v>
      </c>
    </row>
    <row r="10" spans="1:1" ht="28" x14ac:dyDescent="0.2">
      <c r="A10" s="2" t="s">
        <v>7</v>
      </c>
    </row>
    <row r="11" spans="1:1" ht="28" x14ac:dyDescent="0.2">
      <c r="A11" s="2" t="s">
        <v>8</v>
      </c>
    </row>
    <row r="12" spans="1:1" x14ac:dyDescent="0.2">
      <c r="A12" s="2" t="s">
        <v>9</v>
      </c>
    </row>
    <row r="13" spans="1:1" x14ac:dyDescent="0.2">
      <c r="A13" s="2"/>
    </row>
    <row r="14" spans="1:1" x14ac:dyDescent="0.2">
      <c r="A14" s="3" t="s">
        <v>10</v>
      </c>
    </row>
    <row r="15" spans="1:1" x14ac:dyDescent="0.2">
      <c r="A15" s="2" t="s">
        <v>11</v>
      </c>
    </row>
    <row r="16" spans="1:1" x14ac:dyDescent="0.2">
      <c r="A16" s="2" t="s">
        <v>12</v>
      </c>
    </row>
    <row r="17" spans="1:1" x14ac:dyDescent="0.2">
      <c r="A17" s="2" t="s">
        <v>13</v>
      </c>
    </row>
    <row r="18" spans="1:1" x14ac:dyDescent="0.2">
      <c r="A18" s="2" t="s">
        <v>14</v>
      </c>
    </row>
    <row r="19" spans="1:1" x14ac:dyDescent="0.2">
      <c r="A19" s="2"/>
    </row>
    <row r="20" spans="1:1" x14ac:dyDescent="0.2">
      <c r="A20" s="3" t="s">
        <v>15</v>
      </c>
    </row>
    <row r="21" spans="1:1" ht="28" x14ac:dyDescent="0.2">
      <c r="A21" s="2" t="s">
        <v>16</v>
      </c>
    </row>
    <row r="22" spans="1:1" x14ac:dyDescent="0.2">
      <c r="A22" s="2" t="s">
        <v>17</v>
      </c>
    </row>
    <row r="23" spans="1:1" x14ac:dyDescent="0.2">
      <c r="A23" s="2" t="s">
        <v>18</v>
      </c>
    </row>
    <row r="24" spans="1:1" x14ac:dyDescent="0.2">
      <c r="A24" s="2" t="s">
        <v>19</v>
      </c>
    </row>
    <row r="25" spans="1:1" x14ac:dyDescent="0.2">
      <c r="A25" s="2" t="s">
        <v>20</v>
      </c>
    </row>
    <row r="26" spans="1:1" x14ac:dyDescent="0.2">
      <c r="A26" s="2" t="s">
        <v>21</v>
      </c>
    </row>
    <row r="27" spans="1:1" x14ac:dyDescent="0.2">
      <c r="A27" s="2"/>
    </row>
    <row r="28" spans="1:1" x14ac:dyDescent="0.2">
      <c r="A28" s="3" t="s">
        <v>22</v>
      </c>
    </row>
    <row r="29" spans="1:1" x14ac:dyDescent="0.2">
      <c r="A29" s="2" t="s">
        <v>23</v>
      </c>
    </row>
    <row r="30" spans="1:1" ht="28" x14ac:dyDescent="0.2">
      <c r="A30" s="2" t="s">
        <v>24</v>
      </c>
    </row>
    <row r="31" spans="1:1" x14ac:dyDescent="0.2">
      <c r="A31" s="2" t="s">
        <v>25</v>
      </c>
    </row>
    <row r="32" spans="1:1" ht="28" x14ac:dyDescent="0.2">
      <c r="A32" s="2" t="s">
        <v>26</v>
      </c>
    </row>
    <row r="33" spans="1:1" ht="42" x14ac:dyDescent="0.2">
      <c r="A33" s="2" t="s">
        <v>27</v>
      </c>
    </row>
    <row r="34" spans="1:1" x14ac:dyDescent="0.2">
      <c r="A34" s="2"/>
    </row>
    <row r="35" spans="1:1" x14ac:dyDescent="0.2">
      <c r="A35" s="3" t="s">
        <v>28</v>
      </c>
    </row>
    <row r="36" spans="1:1" ht="28" x14ac:dyDescent="0.2">
      <c r="A36" s="2" t="s">
        <v>29</v>
      </c>
    </row>
    <row r="37" spans="1:1" x14ac:dyDescent="0.2">
      <c r="A37" s="2" t="s">
        <v>30</v>
      </c>
    </row>
    <row r="38" spans="1:1" x14ac:dyDescent="0.2">
      <c r="A38" s="2" t="s">
        <v>31</v>
      </c>
    </row>
    <row r="39" spans="1:1" x14ac:dyDescent="0.2">
      <c r="A39" s="2" t="s">
        <v>32</v>
      </c>
    </row>
    <row r="40" spans="1:1" x14ac:dyDescent="0.2">
      <c r="A40" s="2" t="s">
        <v>33</v>
      </c>
    </row>
    <row r="41" spans="1:1" ht="56" x14ac:dyDescent="0.2">
      <c r="A41" s="2" t="s">
        <v>34</v>
      </c>
    </row>
    <row r="42" spans="1:1" ht="28" x14ac:dyDescent="0.2">
      <c r="A42" s="2" t="s">
        <v>35</v>
      </c>
    </row>
    <row r="43" spans="1:1" x14ac:dyDescent="0.2">
      <c r="A43" s="2"/>
    </row>
    <row r="44" spans="1:1" x14ac:dyDescent="0.2">
      <c r="A44" s="3" t="s">
        <v>36</v>
      </c>
    </row>
    <row r="45" spans="1:1" x14ac:dyDescent="0.2">
      <c r="A45" s="2" t="s">
        <v>37</v>
      </c>
    </row>
    <row r="46" spans="1:1" x14ac:dyDescent="0.2">
      <c r="A46" s="2" t="s">
        <v>38</v>
      </c>
    </row>
    <row r="47" spans="1:1" ht="28" x14ac:dyDescent="0.2">
      <c r="A47" s="2" t="s">
        <v>39</v>
      </c>
    </row>
    <row r="48" spans="1:1" x14ac:dyDescent="0.2">
      <c r="A48" s="2" t="s">
        <v>40</v>
      </c>
    </row>
    <row r="49" spans="1:1" x14ac:dyDescent="0.2">
      <c r="A49" s="2"/>
    </row>
    <row r="50" spans="1:1" x14ac:dyDescent="0.2">
      <c r="A50" s="3" t="s">
        <v>41</v>
      </c>
    </row>
    <row r="51" spans="1:1" ht="28" x14ac:dyDescent="0.2">
      <c r="A51" s="2" t="s">
        <v>42</v>
      </c>
    </row>
    <row r="52" spans="1:1" x14ac:dyDescent="0.2">
      <c r="A52" s="2" t="s">
        <v>43</v>
      </c>
    </row>
    <row r="53" spans="1:1" ht="28" x14ac:dyDescent="0.2">
      <c r="A53" s="2" t="s">
        <v>44</v>
      </c>
    </row>
    <row r="54" spans="1:1" x14ac:dyDescent="0.2">
      <c r="A54" s="2" t="s">
        <v>45</v>
      </c>
    </row>
    <row r="55" spans="1:1" ht="28" x14ac:dyDescent="0.2">
      <c r="A55" s="2" t="s">
        <v>46</v>
      </c>
    </row>
    <row r="56" spans="1:1" x14ac:dyDescent="0.2">
      <c r="A56" s="2" t="s">
        <v>47</v>
      </c>
    </row>
    <row r="57" spans="1:1" ht="28" x14ac:dyDescent="0.2">
      <c r="A57" s="2" t="s">
        <v>48</v>
      </c>
    </row>
    <row r="58" spans="1:1" x14ac:dyDescent="0.2">
      <c r="A58" s="2" t="s">
        <v>49</v>
      </c>
    </row>
    <row r="59" spans="1:1" x14ac:dyDescent="0.2">
      <c r="A59" s="2"/>
    </row>
    <row r="60" spans="1:1" x14ac:dyDescent="0.2">
      <c r="A60" s="3" t="s">
        <v>50</v>
      </c>
    </row>
    <row r="61" spans="1:1" x14ac:dyDescent="0.2">
      <c r="A61" s="2" t="s">
        <v>51</v>
      </c>
    </row>
    <row r="62" spans="1:1" ht="42" x14ac:dyDescent="0.2">
      <c r="A62" s="2" t="s">
        <v>52</v>
      </c>
    </row>
    <row r="63" spans="1:1" x14ac:dyDescent="0.2">
      <c r="A63" s="2" t="s">
        <v>53</v>
      </c>
    </row>
    <row r="64" spans="1:1" x14ac:dyDescent="0.2">
      <c r="A64" s="2"/>
    </row>
    <row r="65" spans="1:1" x14ac:dyDescent="0.2">
      <c r="A65" s="3" t="s">
        <v>54</v>
      </c>
    </row>
    <row r="66" spans="1:1" x14ac:dyDescent="0.2">
      <c r="A66" s="2" t="s">
        <v>55</v>
      </c>
    </row>
    <row r="67" spans="1:1" x14ac:dyDescent="0.2">
      <c r="A67" s="2" t="s">
        <v>56</v>
      </c>
    </row>
    <row r="68" spans="1:1" ht="28" x14ac:dyDescent="0.2">
      <c r="A68" s="2" t="s">
        <v>57</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65"/>
  <sheetViews>
    <sheetView workbookViewId="0"/>
  </sheetViews>
  <sheetFormatPr baseColWidth="10" defaultColWidth="8.83203125" defaultRowHeight="15" x14ac:dyDescent="0.2"/>
  <cols>
    <col min="1" max="1" width="38" customWidth="1"/>
    <col min="2" max="2" width="40" customWidth="1"/>
    <col min="3" max="15" width="16" customWidth="1"/>
  </cols>
  <sheetData>
    <row r="1" spans="1:3" ht="18" x14ac:dyDescent="0.2">
      <c r="A1" s="4" t="s">
        <v>58</v>
      </c>
    </row>
    <row r="2" spans="1:3" x14ac:dyDescent="0.2">
      <c r="A2" s="5" t="s">
        <v>59</v>
      </c>
    </row>
    <row r="4" spans="1:3" x14ac:dyDescent="0.2">
      <c r="A4" s="6" t="s">
        <v>60</v>
      </c>
    </row>
    <row r="5" spans="1:3" x14ac:dyDescent="0.2">
      <c r="A5" s="7" t="s">
        <v>61</v>
      </c>
      <c r="B5" s="8">
        <v>0.29099999999999998</v>
      </c>
      <c r="C5" s="5" t="s">
        <v>62</v>
      </c>
    </row>
    <row r="6" spans="1:3" x14ac:dyDescent="0.2">
      <c r="A6" s="7" t="s">
        <v>63</v>
      </c>
      <c r="B6" s="9">
        <v>650</v>
      </c>
      <c r="C6" s="5" t="s">
        <v>64</v>
      </c>
    </row>
    <row r="7" spans="1:3" x14ac:dyDescent="0.2">
      <c r="A7" s="7" t="s">
        <v>65</v>
      </c>
      <c r="B7" s="9">
        <v>1200</v>
      </c>
      <c r="C7" s="5" t="s">
        <v>66</v>
      </c>
    </row>
    <row r="8" spans="1:3" x14ac:dyDescent="0.2">
      <c r="A8" s="7" t="s">
        <v>67</v>
      </c>
      <c r="B8" s="10">
        <v>12</v>
      </c>
      <c r="C8" s="5" t="s">
        <v>68</v>
      </c>
    </row>
    <row r="10" spans="1:3" x14ac:dyDescent="0.2">
      <c r="A10" s="6" t="s">
        <v>69</v>
      </c>
    </row>
    <row r="11" spans="1:3" x14ac:dyDescent="0.2">
      <c r="A11" s="7" t="s">
        <v>70</v>
      </c>
      <c r="B11" s="11">
        <f>(1+B5)^(1/B8)-1</f>
        <v>2.1512895544899102E-2</v>
      </c>
      <c r="C11" s="5" t="s">
        <v>71</v>
      </c>
    </row>
    <row r="12" spans="1:3" x14ac:dyDescent="0.2">
      <c r="A12" s="7" t="s">
        <v>72</v>
      </c>
      <c r="B12" s="12">
        <f>B7/B8</f>
        <v>100</v>
      </c>
      <c r="C12" s="5" t="s">
        <v>73</v>
      </c>
    </row>
    <row r="13" spans="1:3" x14ac:dyDescent="0.2">
      <c r="A13" s="7" t="s">
        <v>74</v>
      </c>
      <c r="B13" s="12">
        <f>IF(B11=0,B7/B8,B7*B11/(1-(1+B11)^-B8))</f>
        <v>114.52844597305015</v>
      </c>
      <c r="C13" s="5" t="s">
        <v>75</v>
      </c>
    </row>
    <row r="14" spans="1:3" x14ac:dyDescent="0.2">
      <c r="A14" s="7" t="s">
        <v>76</v>
      </c>
      <c r="B14" s="12">
        <f>B7+B6</f>
        <v>1850</v>
      </c>
      <c r="C14" s="5" t="s">
        <v>77</v>
      </c>
    </row>
    <row r="15" spans="1:3" x14ac:dyDescent="0.2">
      <c r="A15" s="7" t="s">
        <v>78</v>
      </c>
      <c r="B15" s="12">
        <f>B14/B8</f>
        <v>154.16666666666666</v>
      </c>
      <c r="C15" s="5" t="s">
        <v>79</v>
      </c>
    </row>
    <row r="16" spans="1:3" x14ac:dyDescent="0.2">
      <c r="A16" s="7" t="s">
        <v>80</v>
      </c>
      <c r="B16" s="12">
        <f>IF(B11=0,B14/B8,B14*B11/(1-(1+B11)^-B8))</f>
        <v>176.56468754178564</v>
      </c>
      <c r="C16" s="5" t="s">
        <v>81</v>
      </c>
    </row>
    <row r="18" spans="1:15" x14ac:dyDescent="0.2">
      <c r="A18" s="6" t="s">
        <v>82</v>
      </c>
    </row>
    <row r="19" spans="1:15" ht="42" customHeight="1" x14ac:dyDescent="0.2">
      <c r="A19" s="13" t="s">
        <v>83</v>
      </c>
      <c r="B19" s="13" t="s">
        <v>84</v>
      </c>
      <c r="C19" s="13" t="s">
        <v>85</v>
      </c>
      <c r="D19" s="13" t="s">
        <v>86</v>
      </c>
      <c r="E19" s="13" t="s">
        <v>87</v>
      </c>
      <c r="F19" s="13" t="s">
        <v>88</v>
      </c>
      <c r="G19" s="13" t="s">
        <v>89</v>
      </c>
    </row>
    <row r="20" spans="1:15" x14ac:dyDescent="0.2">
      <c r="A20" s="14" t="s">
        <v>90</v>
      </c>
      <c r="B20" s="14" t="s">
        <v>91</v>
      </c>
      <c r="C20" s="15">
        <v>6.854706591360527</v>
      </c>
      <c r="D20" s="12">
        <f>H64</f>
        <v>0</v>
      </c>
      <c r="E20" s="14" t="str">
        <f>IF($B$7&lt;=$B$6,"No APR: fee is not less than the credit",IF(ABS(D20)&lt;0.005,"Solved","Run Solver"))</f>
        <v>Solved</v>
      </c>
      <c r="F20" s="16">
        <f>IFERROR((1+IRR(H33:H45,0.1))^12-1,"n/a")</f>
        <v>6.8547065913604044</v>
      </c>
      <c r="G20" s="17">
        <f t="shared" ref="G20:G27" si="0">IFERROR(C20-F20,"n/a")</f>
        <v>1.2256862191861728E-13</v>
      </c>
    </row>
    <row r="21" spans="1:15" x14ac:dyDescent="0.2">
      <c r="A21" s="14" t="s">
        <v>90</v>
      </c>
      <c r="B21" s="14" t="s">
        <v>92</v>
      </c>
      <c r="C21" s="15">
        <v>1.2764683009900071</v>
      </c>
      <c r="D21" s="12">
        <f>I64</f>
        <v>0</v>
      </c>
      <c r="E21" s="14" t="str">
        <f>IF(ABS(D21)&lt;0.005,"Solved","Run Solver")</f>
        <v>Solved</v>
      </c>
      <c r="F21" s="16">
        <f>IFERROR((1+IRR(I33:I45,0.1))^12-1,"n/a")</f>
        <v>1.2764683009925282</v>
      </c>
      <c r="G21" s="17">
        <f t="shared" si="0"/>
        <v>-2.5210944443188055E-12</v>
      </c>
    </row>
    <row r="22" spans="1:15" x14ac:dyDescent="0.2">
      <c r="A22" s="14" t="s">
        <v>90</v>
      </c>
      <c r="B22" s="14" t="s">
        <v>93</v>
      </c>
      <c r="C22" s="15">
        <v>1.91722957623252</v>
      </c>
      <c r="D22" s="12">
        <f>J64</f>
        <v>-1.9184653865522705E-13</v>
      </c>
      <c r="E22" s="14" t="str">
        <f>IF(ABS(D22)&lt;0.005,"Solved","Run Solver")</f>
        <v>Solved</v>
      </c>
      <c r="F22" s="16">
        <f>IFERROR((1+IRR(J33:J45,0.1))^12-1,"n/a")</f>
        <v>1.9172295762324314</v>
      </c>
      <c r="G22" s="17">
        <f t="shared" si="0"/>
        <v>8.8595797365087492E-14</v>
      </c>
    </row>
    <row r="23" spans="1:15" x14ac:dyDescent="0.2">
      <c r="A23" s="14" t="s">
        <v>90</v>
      </c>
      <c r="B23" s="14" t="s">
        <v>94</v>
      </c>
      <c r="C23" s="15">
        <v>2.2766148540852331</v>
      </c>
      <c r="D23" s="12">
        <f>K64</f>
        <v>0</v>
      </c>
      <c r="E23" s="14" t="str">
        <f>IF(ABS(D23)&lt;0.005,"Solved","Run Solver")</f>
        <v>Solved</v>
      </c>
      <c r="F23" s="16">
        <f>IFERROR((1+IRR(K33:K45,0.1))^12-1,"n/a")</f>
        <v>2.2766148540852313</v>
      </c>
      <c r="G23" s="17">
        <f t="shared" si="0"/>
        <v>1.7763568394002505E-15</v>
      </c>
    </row>
    <row r="24" spans="1:15" x14ac:dyDescent="0.2">
      <c r="A24" s="14" t="s">
        <v>95</v>
      </c>
      <c r="B24" s="14" t="s">
        <v>91</v>
      </c>
      <c r="C24" s="15">
        <v>6.2520969964894872</v>
      </c>
      <c r="D24" s="12">
        <f>L64</f>
        <v>0</v>
      </c>
      <c r="E24" s="14" t="str">
        <f>IF($B$7&lt;=$B$6,"No APR: fee is not less than the credit",IF(ABS(D24)&lt;0.005,"Solved","Run Solver"))</f>
        <v>Solved</v>
      </c>
      <c r="F24" s="16">
        <f>IFERROR((1+IRR(L33:L45,0.1))^12-1,"n/a")</f>
        <v>6.2520969964894393</v>
      </c>
      <c r="G24" s="17">
        <f t="shared" si="0"/>
        <v>4.7961634663806763E-14</v>
      </c>
    </row>
    <row r="25" spans="1:15" x14ac:dyDescent="0.2">
      <c r="A25" s="14" t="s">
        <v>95</v>
      </c>
      <c r="B25" s="14" t="s">
        <v>92</v>
      </c>
      <c r="C25" s="15">
        <v>1.246802324762557</v>
      </c>
      <c r="D25" s="12">
        <f>M64</f>
        <v>0</v>
      </c>
      <c r="E25" s="14" t="str">
        <f>IF(ABS(D25)&lt;0.005,"Solved","Run Solver")</f>
        <v>Solved</v>
      </c>
      <c r="F25" s="16">
        <f>IFERROR((1+IRR(M33:M45,0.1))^12-1,"n/a")</f>
        <v>1.2468023247674922</v>
      </c>
      <c r="G25" s="17">
        <f t="shared" si="0"/>
        <v>-4.9351633890637459E-12</v>
      </c>
    </row>
    <row r="26" spans="1:15" x14ac:dyDescent="0.2">
      <c r="A26" s="14" t="s">
        <v>95</v>
      </c>
      <c r="B26" s="14" t="s">
        <v>93</v>
      </c>
      <c r="C26" s="15">
        <v>1.8537500000834271</v>
      </c>
      <c r="D26" s="12">
        <f>N64</f>
        <v>2.2737367544323206E-13</v>
      </c>
      <c r="E26" s="14" t="str">
        <f>IF(ABS(D26)&lt;0.005,"Solved","Run Solver")</f>
        <v>Solved</v>
      </c>
      <c r="F26" s="16">
        <f>IFERROR((1+IRR(N33:N45,0.1))^12-1,"n/a")</f>
        <v>1.853750000082397</v>
      </c>
      <c r="G26" s="17">
        <f t="shared" si="0"/>
        <v>1.0300649222472202E-12</v>
      </c>
    </row>
    <row r="27" spans="1:15" x14ac:dyDescent="0.2">
      <c r="A27" s="14" t="s">
        <v>95</v>
      </c>
      <c r="B27" s="14" t="s">
        <v>94</v>
      </c>
      <c r="C27" s="15">
        <v>2.1562723528416212</v>
      </c>
      <c r="D27" s="12">
        <f>O64</f>
        <v>1.7053025658242404E-13</v>
      </c>
      <c r="E27" s="14" t="str">
        <f>IF(ABS(D27)&lt;0.005,"Solved","Run Solver")</f>
        <v>Solved</v>
      </c>
      <c r="F27" s="16">
        <f>IFERROR((1+IRR(O33:O45,0.1))^12-1,"n/a")</f>
        <v>2.1562723528418513</v>
      </c>
      <c r="G27" s="17">
        <f t="shared" si="0"/>
        <v>-2.3003821070233244E-13</v>
      </c>
    </row>
    <row r="28" spans="1:15" x14ac:dyDescent="0.2">
      <c r="A28" s="18" t="s">
        <v>96</v>
      </c>
      <c r="C28" s="19">
        <f>SUMSQ(D20:D27)</f>
        <v>1.1758445108862314E-25</v>
      </c>
      <c r="D28" s="5" t="s">
        <v>97</v>
      </c>
    </row>
    <row r="29" spans="1:15" x14ac:dyDescent="0.2">
      <c r="A29" s="5" t="s">
        <v>98</v>
      </c>
    </row>
    <row r="31" spans="1:15" x14ac:dyDescent="0.2">
      <c r="A31" s="6" t="s">
        <v>99</v>
      </c>
    </row>
    <row r="32" spans="1:15" ht="56" customHeight="1" x14ac:dyDescent="0.2">
      <c r="A32" s="13" t="s">
        <v>100</v>
      </c>
      <c r="B32" s="13" t="s">
        <v>101</v>
      </c>
      <c r="C32" s="13" t="s">
        <v>102</v>
      </c>
      <c r="D32" s="13" t="s">
        <v>103</v>
      </c>
      <c r="E32" s="13" t="s">
        <v>104</v>
      </c>
      <c r="F32" s="13" t="s">
        <v>105</v>
      </c>
      <c r="G32" s="13" t="s">
        <v>106</v>
      </c>
      <c r="H32" s="13" t="s">
        <v>107</v>
      </c>
      <c r="I32" s="13" t="s">
        <v>108</v>
      </c>
      <c r="J32" s="13" t="s">
        <v>109</v>
      </c>
      <c r="K32" s="13" t="s">
        <v>110</v>
      </c>
      <c r="L32" s="13" t="s">
        <v>111</v>
      </c>
      <c r="M32" s="13" t="s">
        <v>112</v>
      </c>
      <c r="N32" s="13" t="s">
        <v>113</v>
      </c>
      <c r="O32" s="13" t="s">
        <v>114</v>
      </c>
    </row>
    <row r="33" spans="1:15" x14ac:dyDescent="0.2">
      <c r="A33" s="10">
        <v>0</v>
      </c>
      <c r="B33" s="14"/>
      <c r="C33" s="12">
        <v>0</v>
      </c>
      <c r="D33" s="12">
        <v>0</v>
      </c>
      <c r="E33" s="14"/>
      <c r="F33" s="12">
        <v>0</v>
      </c>
      <c r="G33" s="12">
        <v>0</v>
      </c>
      <c r="H33" s="12">
        <f>$B$7-$B$6</f>
        <v>550</v>
      </c>
      <c r="I33" s="12">
        <f>$B$7</f>
        <v>1200</v>
      </c>
      <c r="J33" s="12">
        <f>$B$7</f>
        <v>1200</v>
      </c>
      <c r="K33" s="12">
        <f>$B$7</f>
        <v>1200</v>
      </c>
      <c r="L33" s="12">
        <f>$B$7-$B$6</f>
        <v>550</v>
      </c>
      <c r="M33" s="12">
        <f>$B$7</f>
        <v>1200</v>
      </c>
      <c r="N33" s="12">
        <f>$B$7</f>
        <v>1200</v>
      </c>
      <c r="O33" s="12">
        <f>$B$7</f>
        <v>1200</v>
      </c>
    </row>
    <row r="34" spans="1:15" x14ac:dyDescent="0.2">
      <c r="A34" s="10">
        <v>1</v>
      </c>
      <c r="B34" s="12">
        <f t="shared" ref="B34:B45" si="1">$B$7-$B$12*(A34-1)</f>
        <v>1200</v>
      </c>
      <c r="C34" s="12">
        <f t="shared" ref="C34:C45" si="2">$B$12+B34*$B$11</f>
        <v>125.81547465387892</v>
      </c>
      <c r="D34" s="12">
        <f t="shared" ref="D34:D45" si="3">$B$13</f>
        <v>114.52844597305015</v>
      </c>
      <c r="E34" s="12">
        <f t="shared" ref="E34:E45" si="4">$B$14-$B$15*(A34-1)</f>
        <v>1850</v>
      </c>
      <c r="F34" s="12">
        <f t="shared" ref="F34:F45" si="5">$B$15+E34*$B$11</f>
        <v>193.96552342473001</v>
      </c>
      <c r="G34" s="12">
        <f t="shared" ref="G34:G45" si="6">$B$16</f>
        <v>176.56468754178564</v>
      </c>
      <c r="H34" s="12">
        <f t="shared" ref="H34:H45" si="7">-C34</f>
        <v>-125.81547465387892</v>
      </c>
      <c r="I34" s="12">
        <f t="shared" ref="I34:I45" si="8">-C34-IF(A34=$B$8,$B$6,0)</f>
        <v>-125.81547465387892</v>
      </c>
      <c r="J34" s="12">
        <f t="shared" ref="J34:J45" si="9">-C34-$B$6/$B$8</f>
        <v>-179.98214132054559</v>
      </c>
      <c r="K34" s="12">
        <f t="shared" ref="K34:K45" si="10">-F34</f>
        <v>-193.96552342473001</v>
      </c>
      <c r="L34" s="12">
        <f t="shared" ref="L34:L45" si="11">-D34</f>
        <v>-114.52844597305015</v>
      </c>
      <c r="M34" s="12">
        <f t="shared" ref="M34:M45" si="12">-D34-IF(A34=$B$8,$B$6,0)</f>
        <v>-114.52844597305015</v>
      </c>
      <c r="N34" s="12">
        <f t="shared" ref="N34:N45" si="13">-D34-$B$6/$B$8</f>
        <v>-168.69511263971683</v>
      </c>
      <c r="O34" s="12">
        <f t="shared" ref="O34:O45" si="14">-G34</f>
        <v>-176.56468754178564</v>
      </c>
    </row>
    <row r="35" spans="1:15" x14ac:dyDescent="0.2">
      <c r="A35" s="10">
        <v>2</v>
      </c>
      <c r="B35" s="12">
        <f t="shared" si="1"/>
        <v>1100</v>
      </c>
      <c r="C35" s="12">
        <f t="shared" si="2"/>
        <v>123.66418509938902</v>
      </c>
      <c r="D35" s="12">
        <f t="shared" si="3"/>
        <v>114.52844597305015</v>
      </c>
      <c r="E35" s="12">
        <f t="shared" si="4"/>
        <v>1695.8333333333333</v>
      </c>
      <c r="F35" s="12">
        <f t="shared" si="5"/>
        <v>190.6489520282247</v>
      </c>
      <c r="G35" s="12">
        <f t="shared" si="6"/>
        <v>176.56468754178564</v>
      </c>
      <c r="H35" s="12">
        <f t="shared" si="7"/>
        <v>-123.66418509938902</v>
      </c>
      <c r="I35" s="12">
        <f t="shared" si="8"/>
        <v>-123.66418509938902</v>
      </c>
      <c r="J35" s="12">
        <f t="shared" si="9"/>
        <v>-177.83085176605567</v>
      </c>
      <c r="K35" s="12">
        <f t="shared" si="10"/>
        <v>-190.6489520282247</v>
      </c>
      <c r="L35" s="12">
        <f t="shared" si="11"/>
        <v>-114.52844597305015</v>
      </c>
      <c r="M35" s="12">
        <f t="shared" si="12"/>
        <v>-114.52844597305015</v>
      </c>
      <c r="N35" s="12">
        <f t="shared" si="13"/>
        <v>-168.69511263971683</v>
      </c>
      <c r="O35" s="12">
        <f t="shared" si="14"/>
        <v>-176.56468754178564</v>
      </c>
    </row>
    <row r="36" spans="1:15" x14ac:dyDescent="0.2">
      <c r="A36" s="10">
        <v>3</v>
      </c>
      <c r="B36" s="12">
        <f t="shared" si="1"/>
        <v>1000</v>
      </c>
      <c r="C36" s="12">
        <f t="shared" si="2"/>
        <v>121.5128955448991</v>
      </c>
      <c r="D36" s="12">
        <f t="shared" si="3"/>
        <v>114.52844597305015</v>
      </c>
      <c r="E36" s="12">
        <f t="shared" si="4"/>
        <v>1541.6666666666667</v>
      </c>
      <c r="F36" s="12">
        <f t="shared" si="5"/>
        <v>187.33238063171945</v>
      </c>
      <c r="G36" s="12">
        <f t="shared" si="6"/>
        <v>176.56468754178564</v>
      </c>
      <c r="H36" s="12">
        <f t="shared" si="7"/>
        <v>-121.5128955448991</v>
      </c>
      <c r="I36" s="12">
        <f t="shared" si="8"/>
        <v>-121.5128955448991</v>
      </c>
      <c r="J36" s="12">
        <f t="shared" si="9"/>
        <v>-175.67956221156575</v>
      </c>
      <c r="K36" s="12">
        <f t="shared" si="10"/>
        <v>-187.33238063171945</v>
      </c>
      <c r="L36" s="12">
        <f t="shared" si="11"/>
        <v>-114.52844597305015</v>
      </c>
      <c r="M36" s="12">
        <f t="shared" si="12"/>
        <v>-114.52844597305015</v>
      </c>
      <c r="N36" s="12">
        <f t="shared" si="13"/>
        <v>-168.69511263971683</v>
      </c>
      <c r="O36" s="12">
        <f t="shared" si="14"/>
        <v>-176.56468754178564</v>
      </c>
    </row>
    <row r="37" spans="1:15" x14ac:dyDescent="0.2">
      <c r="A37" s="10">
        <v>4</v>
      </c>
      <c r="B37" s="12">
        <f t="shared" si="1"/>
        <v>900</v>
      </c>
      <c r="C37" s="12">
        <f t="shared" si="2"/>
        <v>119.36160599040919</v>
      </c>
      <c r="D37" s="12">
        <f t="shared" si="3"/>
        <v>114.52844597305015</v>
      </c>
      <c r="E37" s="12">
        <f t="shared" si="4"/>
        <v>1387.5</v>
      </c>
      <c r="F37" s="12">
        <f t="shared" si="5"/>
        <v>184.01580923521416</v>
      </c>
      <c r="G37" s="12">
        <f t="shared" si="6"/>
        <v>176.56468754178564</v>
      </c>
      <c r="H37" s="12">
        <f t="shared" si="7"/>
        <v>-119.36160599040919</v>
      </c>
      <c r="I37" s="12">
        <f t="shared" si="8"/>
        <v>-119.36160599040919</v>
      </c>
      <c r="J37" s="12">
        <f t="shared" si="9"/>
        <v>-173.52827265707586</v>
      </c>
      <c r="K37" s="12">
        <f t="shared" si="10"/>
        <v>-184.01580923521416</v>
      </c>
      <c r="L37" s="12">
        <f t="shared" si="11"/>
        <v>-114.52844597305015</v>
      </c>
      <c r="M37" s="12">
        <f t="shared" si="12"/>
        <v>-114.52844597305015</v>
      </c>
      <c r="N37" s="12">
        <f t="shared" si="13"/>
        <v>-168.69511263971683</v>
      </c>
      <c r="O37" s="12">
        <f t="shared" si="14"/>
        <v>-176.56468754178564</v>
      </c>
    </row>
    <row r="38" spans="1:15" x14ac:dyDescent="0.2">
      <c r="A38" s="10">
        <v>5</v>
      </c>
      <c r="B38" s="12">
        <f t="shared" si="1"/>
        <v>800</v>
      </c>
      <c r="C38" s="12">
        <f t="shared" si="2"/>
        <v>117.21031643591928</v>
      </c>
      <c r="D38" s="12">
        <f t="shared" si="3"/>
        <v>114.52844597305015</v>
      </c>
      <c r="E38" s="12">
        <f t="shared" si="4"/>
        <v>1233.3333333333335</v>
      </c>
      <c r="F38" s="12">
        <f t="shared" si="5"/>
        <v>180.69923783870888</v>
      </c>
      <c r="G38" s="12">
        <f t="shared" si="6"/>
        <v>176.56468754178564</v>
      </c>
      <c r="H38" s="12">
        <f t="shared" si="7"/>
        <v>-117.21031643591928</v>
      </c>
      <c r="I38" s="12">
        <f t="shared" si="8"/>
        <v>-117.21031643591928</v>
      </c>
      <c r="J38" s="12">
        <f t="shared" si="9"/>
        <v>-171.37698310258594</v>
      </c>
      <c r="K38" s="12">
        <f t="shared" si="10"/>
        <v>-180.69923783870888</v>
      </c>
      <c r="L38" s="12">
        <f t="shared" si="11"/>
        <v>-114.52844597305015</v>
      </c>
      <c r="M38" s="12">
        <f t="shared" si="12"/>
        <v>-114.52844597305015</v>
      </c>
      <c r="N38" s="12">
        <f t="shared" si="13"/>
        <v>-168.69511263971683</v>
      </c>
      <c r="O38" s="12">
        <f t="shared" si="14"/>
        <v>-176.56468754178564</v>
      </c>
    </row>
    <row r="39" spans="1:15" x14ac:dyDescent="0.2">
      <c r="A39" s="10">
        <v>6</v>
      </c>
      <c r="B39" s="12">
        <f t="shared" si="1"/>
        <v>700</v>
      </c>
      <c r="C39" s="12">
        <f t="shared" si="2"/>
        <v>115.05902688142938</v>
      </c>
      <c r="D39" s="12">
        <f t="shared" si="3"/>
        <v>114.52844597305015</v>
      </c>
      <c r="E39" s="12">
        <f t="shared" si="4"/>
        <v>1079.1666666666667</v>
      </c>
      <c r="F39" s="12">
        <f t="shared" si="5"/>
        <v>177.3826664422036</v>
      </c>
      <c r="G39" s="12">
        <f t="shared" si="6"/>
        <v>176.56468754178564</v>
      </c>
      <c r="H39" s="12">
        <f t="shared" si="7"/>
        <v>-115.05902688142938</v>
      </c>
      <c r="I39" s="12">
        <f t="shared" si="8"/>
        <v>-115.05902688142938</v>
      </c>
      <c r="J39" s="12">
        <f t="shared" si="9"/>
        <v>-169.22569354809605</v>
      </c>
      <c r="K39" s="12">
        <f t="shared" si="10"/>
        <v>-177.3826664422036</v>
      </c>
      <c r="L39" s="12">
        <f t="shared" si="11"/>
        <v>-114.52844597305015</v>
      </c>
      <c r="M39" s="12">
        <f t="shared" si="12"/>
        <v>-114.52844597305015</v>
      </c>
      <c r="N39" s="12">
        <f t="shared" si="13"/>
        <v>-168.69511263971683</v>
      </c>
      <c r="O39" s="12">
        <f t="shared" si="14"/>
        <v>-176.56468754178564</v>
      </c>
    </row>
    <row r="40" spans="1:15" x14ac:dyDescent="0.2">
      <c r="A40" s="10">
        <v>7</v>
      </c>
      <c r="B40" s="12">
        <f t="shared" si="1"/>
        <v>600</v>
      </c>
      <c r="C40" s="12">
        <f t="shared" si="2"/>
        <v>112.90773732693947</v>
      </c>
      <c r="D40" s="12">
        <f t="shared" si="3"/>
        <v>114.52844597305015</v>
      </c>
      <c r="E40" s="12">
        <f t="shared" si="4"/>
        <v>925</v>
      </c>
      <c r="F40" s="12">
        <f t="shared" si="5"/>
        <v>174.06609504569832</v>
      </c>
      <c r="G40" s="12">
        <f t="shared" si="6"/>
        <v>176.56468754178564</v>
      </c>
      <c r="H40" s="12">
        <f t="shared" si="7"/>
        <v>-112.90773732693947</v>
      </c>
      <c r="I40" s="12">
        <f t="shared" si="8"/>
        <v>-112.90773732693947</v>
      </c>
      <c r="J40" s="12">
        <f t="shared" si="9"/>
        <v>-167.07440399360613</v>
      </c>
      <c r="K40" s="12">
        <f t="shared" si="10"/>
        <v>-174.06609504569832</v>
      </c>
      <c r="L40" s="12">
        <f t="shared" si="11"/>
        <v>-114.52844597305015</v>
      </c>
      <c r="M40" s="12">
        <f t="shared" si="12"/>
        <v>-114.52844597305015</v>
      </c>
      <c r="N40" s="12">
        <f t="shared" si="13"/>
        <v>-168.69511263971683</v>
      </c>
      <c r="O40" s="12">
        <f t="shared" si="14"/>
        <v>-176.56468754178564</v>
      </c>
    </row>
    <row r="41" spans="1:15" x14ac:dyDescent="0.2">
      <c r="A41" s="10">
        <v>8</v>
      </c>
      <c r="B41" s="12">
        <f t="shared" si="1"/>
        <v>500</v>
      </c>
      <c r="C41" s="12">
        <f t="shared" si="2"/>
        <v>110.75644777244955</v>
      </c>
      <c r="D41" s="12">
        <f t="shared" si="3"/>
        <v>114.52844597305015</v>
      </c>
      <c r="E41" s="12">
        <f t="shared" si="4"/>
        <v>770.83333333333348</v>
      </c>
      <c r="F41" s="12">
        <f t="shared" si="5"/>
        <v>170.74952364919307</v>
      </c>
      <c r="G41" s="12">
        <f t="shared" si="6"/>
        <v>176.56468754178564</v>
      </c>
      <c r="H41" s="12">
        <f t="shared" si="7"/>
        <v>-110.75644777244955</v>
      </c>
      <c r="I41" s="12">
        <f t="shared" si="8"/>
        <v>-110.75644777244955</v>
      </c>
      <c r="J41" s="12">
        <f t="shared" si="9"/>
        <v>-164.9231144391162</v>
      </c>
      <c r="K41" s="12">
        <f t="shared" si="10"/>
        <v>-170.74952364919307</v>
      </c>
      <c r="L41" s="12">
        <f t="shared" si="11"/>
        <v>-114.52844597305015</v>
      </c>
      <c r="M41" s="12">
        <f t="shared" si="12"/>
        <v>-114.52844597305015</v>
      </c>
      <c r="N41" s="12">
        <f t="shared" si="13"/>
        <v>-168.69511263971683</v>
      </c>
      <c r="O41" s="12">
        <f t="shared" si="14"/>
        <v>-176.56468754178564</v>
      </c>
    </row>
    <row r="42" spans="1:15" x14ac:dyDescent="0.2">
      <c r="A42" s="10">
        <v>9</v>
      </c>
      <c r="B42" s="12">
        <f t="shared" si="1"/>
        <v>400</v>
      </c>
      <c r="C42" s="12">
        <f t="shared" si="2"/>
        <v>108.60515821795964</v>
      </c>
      <c r="D42" s="12">
        <f t="shared" si="3"/>
        <v>114.52844597305015</v>
      </c>
      <c r="E42" s="12">
        <f t="shared" si="4"/>
        <v>616.66666666666674</v>
      </c>
      <c r="F42" s="12">
        <f t="shared" si="5"/>
        <v>167.43295225268778</v>
      </c>
      <c r="G42" s="12">
        <f t="shared" si="6"/>
        <v>176.56468754178564</v>
      </c>
      <c r="H42" s="12">
        <f t="shared" si="7"/>
        <v>-108.60515821795964</v>
      </c>
      <c r="I42" s="12">
        <f t="shared" si="8"/>
        <v>-108.60515821795964</v>
      </c>
      <c r="J42" s="12">
        <f t="shared" si="9"/>
        <v>-162.77182488462631</v>
      </c>
      <c r="K42" s="12">
        <f t="shared" si="10"/>
        <v>-167.43295225268778</v>
      </c>
      <c r="L42" s="12">
        <f t="shared" si="11"/>
        <v>-114.52844597305015</v>
      </c>
      <c r="M42" s="12">
        <f t="shared" si="12"/>
        <v>-114.52844597305015</v>
      </c>
      <c r="N42" s="12">
        <f t="shared" si="13"/>
        <v>-168.69511263971683</v>
      </c>
      <c r="O42" s="12">
        <f t="shared" si="14"/>
        <v>-176.56468754178564</v>
      </c>
    </row>
    <row r="43" spans="1:15" x14ac:dyDescent="0.2">
      <c r="A43" s="10">
        <v>10</v>
      </c>
      <c r="B43" s="12">
        <f t="shared" si="1"/>
        <v>300</v>
      </c>
      <c r="C43" s="12">
        <f t="shared" si="2"/>
        <v>106.45386866346973</v>
      </c>
      <c r="D43" s="12">
        <f t="shared" si="3"/>
        <v>114.52844597305015</v>
      </c>
      <c r="E43" s="12">
        <f t="shared" si="4"/>
        <v>462.5</v>
      </c>
      <c r="F43" s="12">
        <f t="shared" si="5"/>
        <v>164.1163808561825</v>
      </c>
      <c r="G43" s="12">
        <f t="shared" si="6"/>
        <v>176.56468754178564</v>
      </c>
      <c r="H43" s="12">
        <f t="shared" si="7"/>
        <v>-106.45386866346973</v>
      </c>
      <c r="I43" s="12">
        <f t="shared" si="8"/>
        <v>-106.45386866346973</v>
      </c>
      <c r="J43" s="12">
        <f t="shared" si="9"/>
        <v>-160.62053533013639</v>
      </c>
      <c r="K43" s="12">
        <f t="shared" si="10"/>
        <v>-164.1163808561825</v>
      </c>
      <c r="L43" s="12">
        <f t="shared" si="11"/>
        <v>-114.52844597305015</v>
      </c>
      <c r="M43" s="12">
        <f t="shared" si="12"/>
        <v>-114.52844597305015</v>
      </c>
      <c r="N43" s="12">
        <f t="shared" si="13"/>
        <v>-168.69511263971683</v>
      </c>
      <c r="O43" s="12">
        <f t="shared" si="14"/>
        <v>-176.56468754178564</v>
      </c>
    </row>
    <row r="44" spans="1:15" x14ac:dyDescent="0.2">
      <c r="A44" s="10">
        <v>11</v>
      </c>
      <c r="B44" s="12">
        <f t="shared" si="1"/>
        <v>200</v>
      </c>
      <c r="C44" s="12">
        <f t="shared" si="2"/>
        <v>104.30257910897981</v>
      </c>
      <c r="D44" s="12">
        <f t="shared" si="3"/>
        <v>114.52844597305015</v>
      </c>
      <c r="E44" s="12">
        <f t="shared" si="4"/>
        <v>308.33333333333348</v>
      </c>
      <c r="F44" s="12">
        <f t="shared" si="5"/>
        <v>160.79980945967722</v>
      </c>
      <c r="G44" s="12">
        <f t="shared" si="6"/>
        <v>176.56468754178564</v>
      </c>
      <c r="H44" s="12">
        <f t="shared" si="7"/>
        <v>-104.30257910897981</v>
      </c>
      <c r="I44" s="12">
        <f t="shared" si="8"/>
        <v>-104.30257910897981</v>
      </c>
      <c r="J44" s="12">
        <f t="shared" si="9"/>
        <v>-158.46924577564647</v>
      </c>
      <c r="K44" s="12">
        <f t="shared" si="10"/>
        <v>-160.79980945967722</v>
      </c>
      <c r="L44" s="12">
        <f t="shared" si="11"/>
        <v>-114.52844597305015</v>
      </c>
      <c r="M44" s="12">
        <f t="shared" si="12"/>
        <v>-114.52844597305015</v>
      </c>
      <c r="N44" s="12">
        <f t="shared" si="13"/>
        <v>-168.69511263971683</v>
      </c>
      <c r="O44" s="12">
        <f t="shared" si="14"/>
        <v>-176.56468754178564</v>
      </c>
    </row>
    <row r="45" spans="1:15" x14ac:dyDescent="0.2">
      <c r="A45" s="10">
        <v>12</v>
      </c>
      <c r="B45" s="12">
        <f t="shared" si="1"/>
        <v>100</v>
      </c>
      <c r="C45" s="12">
        <f t="shared" si="2"/>
        <v>102.15128955448991</v>
      </c>
      <c r="D45" s="12">
        <f t="shared" si="3"/>
        <v>114.52844597305015</v>
      </c>
      <c r="E45" s="12">
        <f t="shared" si="4"/>
        <v>154.16666666666674</v>
      </c>
      <c r="F45" s="12">
        <f t="shared" si="5"/>
        <v>157.48323806317194</v>
      </c>
      <c r="G45" s="12">
        <f t="shared" si="6"/>
        <v>176.56468754178564</v>
      </c>
      <c r="H45" s="12">
        <f t="shared" si="7"/>
        <v>-102.15128955448991</v>
      </c>
      <c r="I45" s="12">
        <f t="shared" si="8"/>
        <v>-752.15128955448995</v>
      </c>
      <c r="J45" s="12">
        <f t="shared" si="9"/>
        <v>-156.31795622115658</v>
      </c>
      <c r="K45" s="12">
        <f t="shared" si="10"/>
        <v>-157.48323806317194</v>
      </c>
      <c r="L45" s="12">
        <f t="shared" si="11"/>
        <v>-114.52844597305015</v>
      </c>
      <c r="M45" s="12">
        <f t="shared" si="12"/>
        <v>-764.52844597305011</v>
      </c>
      <c r="N45" s="12">
        <f t="shared" si="13"/>
        <v>-168.69511263971683</v>
      </c>
      <c r="O45" s="12">
        <f t="shared" si="14"/>
        <v>-176.56468754178564</v>
      </c>
    </row>
    <row r="46" spans="1:15" x14ac:dyDescent="0.2">
      <c r="A46" s="20" t="s">
        <v>115</v>
      </c>
      <c r="B46" s="14"/>
      <c r="C46" s="21">
        <f>SUM(C33:C45)</f>
        <v>1367.8005852502131</v>
      </c>
      <c r="D46" s="21">
        <f>SUM(D33:D45)</f>
        <v>1374.3413516766016</v>
      </c>
      <c r="E46" s="14"/>
      <c r="F46" s="21">
        <f t="shared" ref="F46:O46" si="15">SUM(F33:F45)</f>
        <v>2108.6925689274117</v>
      </c>
      <c r="G46" s="21">
        <f t="shared" si="15"/>
        <v>2118.7762505014275</v>
      </c>
      <c r="H46" s="21">
        <f t="shared" si="15"/>
        <v>-817.80058525021298</v>
      </c>
      <c r="I46" s="21">
        <f t="shared" si="15"/>
        <v>-817.80058525021298</v>
      </c>
      <c r="J46" s="21">
        <f t="shared" si="15"/>
        <v>-817.80058525021275</v>
      </c>
      <c r="K46" s="21">
        <f t="shared" si="15"/>
        <v>-908.6925689274118</v>
      </c>
      <c r="L46" s="21">
        <f t="shared" si="15"/>
        <v>-824.34135167660179</v>
      </c>
      <c r="M46" s="21">
        <f t="shared" si="15"/>
        <v>-824.34135167660156</v>
      </c>
      <c r="N46" s="21">
        <f t="shared" si="15"/>
        <v>-824.34135167660213</v>
      </c>
      <c r="O46" s="21">
        <f t="shared" si="15"/>
        <v>-918.77625050142751</v>
      </c>
    </row>
    <row r="47" spans="1:15" x14ac:dyDescent="0.2">
      <c r="A47" s="5" t="s">
        <v>116</v>
      </c>
    </row>
    <row r="49" spans="1:15" x14ac:dyDescent="0.2">
      <c r="A49" s="6" t="s">
        <v>117</v>
      </c>
    </row>
    <row r="50" spans="1:15" ht="42" customHeight="1" x14ac:dyDescent="0.2">
      <c r="A50" s="13" t="s">
        <v>100</v>
      </c>
      <c r="B50" s="24" t="s">
        <v>118</v>
      </c>
      <c r="C50" s="25"/>
      <c r="D50" s="25"/>
      <c r="E50" s="25"/>
      <c r="F50" s="25"/>
      <c r="G50" s="26"/>
      <c r="H50" s="13" t="s">
        <v>107</v>
      </c>
      <c r="I50" s="13" t="s">
        <v>108</v>
      </c>
      <c r="J50" s="13" t="s">
        <v>109</v>
      </c>
      <c r="K50" s="13" t="s">
        <v>110</v>
      </c>
      <c r="L50" s="13" t="s">
        <v>111</v>
      </c>
      <c r="M50" s="13" t="s">
        <v>112</v>
      </c>
      <c r="N50" s="13" t="s">
        <v>113</v>
      </c>
      <c r="O50" s="13" t="s">
        <v>114</v>
      </c>
    </row>
    <row r="51" spans="1:15" x14ac:dyDescent="0.2">
      <c r="A51" s="10">
        <v>0</v>
      </c>
      <c r="H51" s="12">
        <f t="shared" ref="H51:H63" si="16">H33*(1+$C$20)^(-$A51/12)</f>
        <v>550</v>
      </c>
      <c r="I51" s="12">
        <f t="shared" ref="I51:I63" si="17">I33*(1+$C$21)^(-$A51/12)</f>
        <v>1200</v>
      </c>
      <c r="J51" s="12">
        <f t="shared" ref="J51:J63" si="18">J33*(1+$C$22)^(-$A51/12)</f>
        <v>1200</v>
      </c>
      <c r="K51" s="12">
        <f t="shared" ref="K51:K63" si="19">K33*(1+$C$23)^(-$A51/12)</f>
        <v>1200</v>
      </c>
      <c r="L51" s="12">
        <f t="shared" ref="L51:L63" si="20">L33*(1+$C$24)^(-$A51/12)</f>
        <v>550</v>
      </c>
      <c r="M51" s="12">
        <f t="shared" ref="M51:M63" si="21">M33*(1+$C$25)^(-$A51/12)</f>
        <v>1200</v>
      </c>
      <c r="N51" s="12">
        <f t="shared" ref="N51:N63" si="22">N33*(1+$C$26)^(-$A51/12)</f>
        <v>1200</v>
      </c>
      <c r="O51" s="12">
        <f t="shared" ref="O51:O63" si="23">O33*(1+$C$27)^(-$A51/12)</f>
        <v>1200</v>
      </c>
    </row>
    <row r="52" spans="1:15" x14ac:dyDescent="0.2">
      <c r="A52" s="10">
        <v>1</v>
      </c>
      <c r="H52" s="12">
        <f t="shared" si="16"/>
        <v>-105.95949906884084</v>
      </c>
      <c r="I52" s="12">
        <f t="shared" si="17"/>
        <v>-117.47954606609406</v>
      </c>
      <c r="J52" s="12">
        <f t="shared" si="18"/>
        <v>-164.61972195441504</v>
      </c>
      <c r="K52" s="12">
        <f t="shared" si="19"/>
        <v>-175.70026900397673</v>
      </c>
      <c r="L52" s="12">
        <f t="shared" si="20"/>
        <v>-97.097504331558099</v>
      </c>
      <c r="M52" s="12">
        <f t="shared" si="21"/>
        <v>-107.05730236341905</v>
      </c>
      <c r="N52" s="12">
        <f t="shared" si="22"/>
        <v>-154.57924206937861</v>
      </c>
      <c r="O52" s="12">
        <f t="shared" si="23"/>
        <v>-160.43753383751877</v>
      </c>
    </row>
    <row r="53" spans="1:15" x14ac:dyDescent="0.2">
      <c r="A53" s="10">
        <v>2</v>
      </c>
      <c r="H53" s="12">
        <f t="shared" si="16"/>
        <v>-87.711312988365776</v>
      </c>
      <c r="I53" s="12">
        <f t="shared" si="17"/>
        <v>-107.8202510690511</v>
      </c>
      <c r="J53" s="12">
        <f t="shared" si="18"/>
        <v>-148.76885049502175</v>
      </c>
      <c r="K53" s="12">
        <f t="shared" si="19"/>
        <v>-156.43365399967647</v>
      </c>
      <c r="L53" s="12">
        <f t="shared" si="20"/>
        <v>-82.319508200045277</v>
      </c>
      <c r="M53" s="12">
        <f t="shared" si="21"/>
        <v>-100.07353100756728</v>
      </c>
      <c r="N53" s="12">
        <f t="shared" si="22"/>
        <v>-141.64454265948828</v>
      </c>
      <c r="O53" s="12">
        <f t="shared" si="23"/>
        <v>-145.78341016106819</v>
      </c>
    </row>
    <row r="54" spans="1:15" x14ac:dyDescent="0.2">
      <c r="A54" s="10">
        <v>3</v>
      </c>
      <c r="H54" s="12">
        <f t="shared" si="16"/>
        <v>-72.583829571298281</v>
      </c>
      <c r="I54" s="12">
        <f t="shared" si="17"/>
        <v>-98.925207073745639</v>
      </c>
      <c r="J54" s="12">
        <f t="shared" si="18"/>
        <v>-134.42454913875281</v>
      </c>
      <c r="K54" s="12">
        <f t="shared" si="19"/>
        <v>-139.23759179251365</v>
      </c>
      <c r="L54" s="12">
        <f t="shared" si="20"/>
        <v>-69.790685939338402</v>
      </c>
      <c r="M54" s="12">
        <f t="shared" si="21"/>
        <v>-93.545338685318001</v>
      </c>
      <c r="N54" s="12">
        <f t="shared" si="22"/>
        <v>-129.79217776349813</v>
      </c>
      <c r="O54" s="12">
        <f t="shared" si="23"/>
        <v>-132.46777215931132</v>
      </c>
    </row>
    <row r="55" spans="1:15" x14ac:dyDescent="0.2">
      <c r="A55" s="10">
        <v>4</v>
      </c>
      <c r="H55" s="12">
        <f t="shared" si="16"/>
        <v>-60.04654143282486</v>
      </c>
      <c r="I55" s="12">
        <f t="shared" si="17"/>
        <v>-90.735544780876651</v>
      </c>
      <c r="J55" s="12">
        <f t="shared" si="18"/>
        <v>-121.44511237271044</v>
      </c>
      <c r="K55" s="12">
        <f t="shared" si="19"/>
        <v>-123.89297186203535</v>
      </c>
      <c r="L55" s="12">
        <f t="shared" si="20"/>
        <v>-59.168718938977925</v>
      </c>
      <c r="M55" s="12">
        <f t="shared" si="21"/>
        <v>-87.443006174021662</v>
      </c>
      <c r="N55" s="12">
        <f t="shared" si="22"/>
        <v>-118.93158107114014</v>
      </c>
      <c r="O55" s="12">
        <f t="shared" si="23"/>
        <v>-120.36836455851665</v>
      </c>
    </row>
    <row r="56" spans="1:15" x14ac:dyDescent="0.2">
      <c r="A56" s="10">
        <v>5</v>
      </c>
      <c r="H56" s="12">
        <f t="shared" si="16"/>
        <v>-49.658662587760311</v>
      </c>
      <c r="I56" s="12">
        <f t="shared" si="17"/>
        <v>-83.19684081342821</v>
      </c>
      <c r="J56" s="12">
        <f t="shared" si="18"/>
        <v>-109.70204915810348</v>
      </c>
      <c r="K56" s="12">
        <f t="shared" si="19"/>
        <v>-110.20358920483463</v>
      </c>
      <c r="L56" s="12">
        <f t="shared" si="20"/>
        <v>-50.163388620692956</v>
      </c>
      <c r="M56" s="12">
        <f t="shared" si="21"/>
        <v>-81.738752953492451</v>
      </c>
      <c r="N56" s="12">
        <f t="shared" si="22"/>
        <v>-108.97976457298603</v>
      </c>
      <c r="O56" s="12">
        <f t="shared" si="23"/>
        <v>-109.37409869826628</v>
      </c>
    </row>
    <row r="57" spans="1:15" x14ac:dyDescent="0.2">
      <c r="A57" s="10">
        <v>6</v>
      </c>
      <c r="H57" s="12">
        <f t="shared" si="16"/>
        <v>-41.054022237475557</v>
      </c>
      <c r="I57" s="12">
        <f t="shared" si="17"/>
        <v>-76.25878700733297</v>
      </c>
      <c r="J57" s="12">
        <f t="shared" si="18"/>
        <v>-99.078859478946455</v>
      </c>
      <c r="K57" s="12">
        <f t="shared" si="19"/>
        <v>-97.993773390353439</v>
      </c>
      <c r="L57" s="12">
        <f t="shared" si="20"/>
        <v>-42.528646944441277</v>
      </c>
      <c r="M57" s="12">
        <f t="shared" si="21"/>
        <v>-76.406610736777139</v>
      </c>
      <c r="N57" s="12">
        <f t="shared" si="22"/>
        <v>-99.860684432332235</v>
      </c>
      <c r="O57" s="12">
        <f t="shared" si="23"/>
        <v>-99.384032589746411</v>
      </c>
    </row>
    <row r="58" spans="1:15" x14ac:dyDescent="0.2">
      <c r="A58" s="10">
        <v>7</v>
      </c>
      <c r="H58" s="12">
        <f t="shared" si="16"/>
        <v>-33.928491973995882</v>
      </c>
      <c r="I58" s="12">
        <f t="shared" si="17"/>
        <v>-69.874884008067625</v>
      </c>
      <c r="J58" s="12">
        <f t="shared" si="18"/>
        <v>-89.469923472441664</v>
      </c>
      <c r="K58" s="12">
        <f t="shared" si="19"/>
        <v>-87.106261033388478</v>
      </c>
      <c r="L58" s="12">
        <f t="shared" si="20"/>
        <v>-36.055893763501274</v>
      </c>
      <c r="M58" s="12">
        <f t="shared" si="21"/>
        <v>-71.422305251011878</v>
      </c>
      <c r="N58" s="12">
        <f t="shared" si="22"/>
        <v>-91.504659918908871</v>
      </c>
      <c r="O58" s="12">
        <f t="shared" si="23"/>
        <v>-90.306444133983447</v>
      </c>
    </row>
    <row r="59" spans="1:15" x14ac:dyDescent="0.2">
      <c r="A59" s="10">
        <v>8</v>
      </c>
      <c r="H59" s="12">
        <f t="shared" si="16"/>
        <v>-28.029523006753955</v>
      </c>
      <c r="I59" s="12">
        <f t="shared" si="17"/>
        <v>-64.002157404122983</v>
      </c>
      <c r="J59" s="12">
        <f t="shared" si="18"/>
        <v>-80.779492835647417</v>
      </c>
      <c r="K59" s="12">
        <f t="shared" si="19"/>
        <v>-77.400286863803899</v>
      </c>
      <c r="L59" s="12">
        <f t="shared" si="20"/>
        <v>-30.568277349223571</v>
      </c>
      <c r="M59" s="12">
        <f t="shared" si="21"/>
        <v>-66.763145730181719</v>
      </c>
      <c r="N59" s="12">
        <f t="shared" si="22"/>
        <v>-83.847840964368359</v>
      </c>
      <c r="O59" s="12">
        <f t="shared" si="23"/>
        <v>-82.057988990936394</v>
      </c>
    </row>
    <row r="60" spans="1:15" x14ac:dyDescent="0.2">
      <c r="A60" s="10">
        <v>9</v>
      </c>
      <c r="H60" s="12">
        <f t="shared" si="16"/>
        <v>-23.147440557435523</v>
      </c>
      <c r="I60" s="12">
        <f t="shared" si="17"/>
        <v>-58.600894756013822</v>
      </c>
      <c r="J60" s="12">
        <f t="shared" si="18"/>
        <v>-72.920775142057352</v>
      </c>
      <c r="K60" s="12">
        <f t="shared" si="19"/>
        <v>-68.749871089833633</v>
      </c>
      <c r="L60" s="12">
        <f t="shared" si="20"/>
        <v>-25.91586236159123</v>
      </c>
      <c r="M60" s="12">
        <f t="shared" si="21"/>
        <v>-62.407921616704343</v>
      </c>
      <c r="N60" s="12">
        <f t="shared" si="22"/>
        <v>-76.831720271037312</v>
      </c>
      <c r="O60" s="12">
        <f t="shared" si="23"/>
        <v>-74.562935367562901</v>
      </c>
    </row>
    <row r="61" spans="1:15" x14ac:dyDescent="0.2">
      <c r="A61" s="10">
        <v>10</v>
      </c>
      <c r="H61" s="12">
        <f t="shared" si="16"/>
        <v>-19.10820138864381</v>
      </c>
      <c r="I61" s="12">
        <f t="shared" si="17"/>
        <v>-53.63440199805531</v>
      </c>
      <c r="J61" s="12">
        <f t="shared" si="18"/>
        <v>-65.815102555519346</v>
      </c>
      <c r="K61" s="12">
        <f t="shared" si="19"/>
        <v>-61.042283013492707</v>
      </c>
      <c r="L61" s="12">
        <f t="shared" si="20"/>
        <v>-21.971533242516863</v>
      </c>
      <c r="M61" s="12">
        <f t="shared" si="21"/>
        <v>-58.336806001578346</v>
      </c>
      <c r="N61" s="12">
        <f t="shared" si="22"/>
        <v>-70.402686245856856</v>
      </c>
      <c r="O61" s="12">
        <f t="shared" si="23"/>
        <v>-67.752468699195688</v>
      </c>
    </row>
    <row r="62" spans="1:15" x14ac:dyDescent="0.2">
      <c r="A62" s="10">
        <v>11</v>
      </c>
      <c r="H62" s="12">
        <f t="shared" si="16"/>
        <v>-15.767369474974052</v>
      </c>
      <c r="I62" s="12">
        <f t="shared" si="17"/>
        <v>-49.068777800190446</v>
      </c>
      <c r="J62" s="12">
        <f t="shared" si="18"/>
        <v>-59.391177205210852</v>
      </c>
      <c r="K62" s="12">
        <f t="shared" si="19"/>
        <v>-54.176662890492487</v>
      </c>
      <c r="L62" s="12">
        <f t="shared" si="20"/>
        <v>-18.62752110238414</v>
      </c>
      <c r="M62" s="12">
        <f t="shared" si="21"/>
        <v>-54.531265363512404</v>
      </c>
      <c r="N62" s="12">
        <f t="shared" si="22"/>
        <v>-64.511613343388717</v>
      </c>
      <c r="O62" s="12">
        <f t="shared" si="23"/>
        <v>-61.564059840278908</v>
      </c>
    </row>
    <row r="63" spans="1:15" x14ac:dyDescent="0.2">
      <c r="A63" s="10">
        <v>12</v>
      </c>
      <c r="H63" s="12">
        <f t="shared" si="16"/>
        <v>-13.005105711631186</v>
      </c>
      <c r="I63" s="12">
        <f t="shared" si="17"/>
        <v>-330.40270722302125</v>
      </c>
      <c r="J63" s="12">
        <f t="shared" si="18"/>
        <v>-53.584386191173429</v>
      </c>
      <c r="K63" s="12">
        <f t="shared" si="19"/>
        <v>-48.062785855598577</v>
      </c>
      <c r="L63" s="12">
        <f t="shared" si="20"/>
        <v>-15.792459205729017</v>
      </c>
      <c r="M63" s="12">
        <f t="shared" si="21"/>
        <v>-340.27401411641574</v>
      </c>
      <c r="N63" s="12">
        <f t="shared" si="22"/>
        <v>-59.113486687616344</v>
      </c>
      <c r="O63" s="12">
        <f t="shared" si="23"/>
        <v>-55.940890963614983</v>
      </c>
    </row>
    <row r="64" spans="1:15" x14ac:dyDescent="0.2">
      <c r="A64" s="20" t="s">
        <v>119</v>
      </c>
      <c r="H64" s="21">
        <f t="shared" ref="H64:O64" si="24">SUM(H51:H63)</f>
        <v>0</v>
      </c>
      <c r="I64" s="21">
        <f t="shared" si="24"/>
        <v>0</v>
      </c>
      <c r="J64" s="21">
        <f t="shared" si="24"/>
        <v>-1.9184653865522705E-13</v>
      </c>
      <c r="K64" s="21">
        <f t="shared" si="24"/>
        <v>0</v>
      </c>
      <c r="L64" s="21">
        <f t="shared" si="24"/>
        <v>0</v>
      </c>
      <c r="M64" s="21">
        <f t="shared" si="24"/>
        <v>0</v>
      </c>
      <c r="N64" s="21">
        <f t="shared" si="24"/>
        <v>2.2737367544323206E-13</v>
      </c>
      <c r="O64" s="21">
        <f t="shared" si="24"/>
        <v>1.7053025658242404E-13</v>
      </c>
    </row>
    <row r="65" spans="1:1" x14ac:dyDescent="0.2">
      <c r="A65" s="5" t="s">
        <v>120</v>
      </c>
    </row>
  </sheetData>
  <mergeCells count="1">
    <mergeCell ref="B50:G50"/>
  </mergeCells>
  <dataValidations count="2">
    <dataValidation type="decimal" operator="greaterThanOrEqual" showErrorMessage="1" errorTitle="Not allowed" error="Enter a number that is 0 or more." sqref="B5:B6" xr:uid="{00000000-0002-0000-0100-000000000000}">
      <formula1>0</formula1>
    </dataValidation>
    <dataValidation type="decimal" operator="greaterThan" showErrorMessage="1" errorTitle="Not allowed" error="Enter a credit amount that is more than 0." sqref="B7" xr:uid="{00000000-0002-0000-0100-000001000000}">
      <formula1>0</formula1>
    </dataValidation>
  </dataValidations>
  <pageMargins left="0.75" right="0.75" top="1" bottom="1" header="0.5" footer="0.5"/>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142"/>
  <sheetViews>
    <sheetView tabSelected="1" workbookViewId="0">
      <selection activeCell="J34" sqref="J34"/>
    </sheetView>
  </sheetViews>
  <sheetFormatPr baseColWidth="10" defaultColWidth="8.83203125" defaultRowHeight="15" x14ac:dyDescent="0.2"/>
  <cols>
    <col min="1" max="1" width="38" customWidth="1"/>
    <col min="2" max="2" width="18" customWidth="1"/>
    <col min="3" max="3" width="40" customWidth="1"/>
    <col min="4" max="4" width="16" customWidth="1"/>
    <col min="5" max="6" width="18" customWidth="1"/>
    <col min="7" max="12" width="16" customWidth="1"/>
  </cols>
  <sheetData>
    <row r="1" spans="1:3" ht="18" x14ac:dyDescent="0.2">
      <c r="A1" s="4" t="s">
        <v>121</v>
      </c>
    </row>
    <row r="2" spans="1:3" x14ac:dyDescent="0.2">
      <c r="A2" s="5" t="s">
        <v>122</v>
      </c>
    </row>
    <row r="4" spans="1:3" x14ac:dyDescent="0.2">
      <c r="A4" s="6" t="s">
        <v>60</v>
      </c>
    </row>
    <row r="5" spans="1:3" x14ac:dyDescent="0.2">
      <c r="A5" s="7" t="s">
        <v>61</v>
      </c>
      <c r="B5" s="8">
        <v>0.29980000000000001</v>
      </c>
      <c r="C5" s="5" t="s">
        <v>62</v>
      </c>
    </row>
    <row r="6" spans="1:3" x14ac:dyDescent="0.2">
      <c r="A6" s="7" t="s">
        <v>63</v>
      </c>
      <c r="B6" s="9">
        <v>290</v>
      </c>
      <c r="C6" s="5" t="s">
        <v>64</v>
      </c>
    </row>
    <row r="7" spans="1:3" x14ac:dyDescent="0.2">
      <c r="A7" s="7" t="s">
        <v>65</v>
      </c>
      <c r="B7" s="9">
        <v>1200</v>
      </c>
      <c r="C7" s="5" t="s">
        <v>66</v>
      </c>
    </row>
    <row r="8" spans="1:3" x14ac:dyDescent="0.2">
      <c r="A8" s="7" t="s">
        <v>123</v>
      </c>
      <c r="B8" s="22">
        <v>253</v>
      </c>
      <c r="C8" s="5" t="s">
        <v>124</v>
      </c>
    </row>
    <row r="9" spans="1:3" x14ac:dyDescent="0.2">
      <c r="A9" s="7" t="s">
        <v>125</v>
      </c>
      <c r="B9" s="10">
        <f>MONTH(B12)</f>
        <v>9</v>
      </c>
    </row>
    <row r="10" spans="1:3" x14ac:dyDescent="0.2">
      <c r="A10" s="7" t="s">
        <v>126</v>
      </c>
      <c r="B10" s="10">
        <f>DAY(B12)</f>
        <v>10</v>
      </c>
    </row>
    <row r="11" spans="1:3" x14ac:dyDescent="0.2">
      <c r="A11" s="6" t="s">
        <v>69</v>
      </c>
    </row>
    <row r="12" spans="1:3" x14ac:dyDescent="0.2">
      <c r="A12" s="7" t="s">
        <v>127</v>
      </c>
      <c r="B12" s="23">
        <f>DATE(2025,1,B8)</f>
        <v>45910</v>
      </c>
      <c r="C12" s="5" t="s">
        <v>128</v>
      </c>
    </row>
    <row r="13" spans="1:3" x14ac:dyDescent="0.2">
      <c r="A13" s="7" t="s">
        <v>129</v>
      </c>
      <c r="B13" s="23">
        <f>DATE(IF(B9&lt;=2,2028,2027),B9,B10)</f>
        <v>46640</v>
      </c>
      <c r="C13" s="5" t="s">
        <v>130</v>
      </c>
    </row>
    <row r="14" spans="1:3" x14ac:dyDescent="0.2">
      <c r="A14" s="7" t="s">
        <v>131</v>
      </c>
      <c r="B14" s="10">
        <f>EDATE(B12,12)-B12</f>
        <v>365</v>
      </c>
    </row>
    <row r="15" spans="1:3" x14ac:dyDescent="0.2">
      <c r="A15" s="7" t="s">
        <v>132</v>
      </c>
      <c r="B15" s="10">
        <f>EDATE(B13,12)-B13</f>
        <v>366</v>
      </c>
    </row>
    <row r="16" spans="1:3" x14ac:dyDescent="0.2">
      <c r="A16" s="7" t="s">
        <v>76</v>
      </c>
      <c r="B16" s="12">
        <f>B7+B6</f>
        <v>1490</v>
      </c>
      <c r="C16" s="5" t="s">
        <v>77</v>
      </c>
    </row>
    <row r="17" spans="1:8" x14ac:dyDescent="0.2">
      <c r="A17" s="7" t="s">
        <v>72</v>
      </c>
      <c r="B17" s="12">
        <f>B7/12</f>
        <v>100</v>
      </c>
    </row>
    <row r="18" spans="1:8" x14ac:dyDescent="0.2">
      <c r="A18" s="7" t="s">
        <v>78</v>
      </c>
      <c r="B18" s="12">
        <f>B16/12</f>
        <v>124.16666666666667</v>
      </c>
    </row>
    <row r="20" spans="1:8" x14ac:dyDescent="0.2">
      <c r="A20" s="6" t="s">
        <v>82</v>
      </c>
    </row>
    <row r="21" spans="1:8" ht="42" customHeight="1" x14ac:dyDescent="0.2">
      <c r="A21" s="13" t="s">
        <v>133</v>
      </c>
      <c r="B21" s="13" t="s">
        <v>83</v>
      </c>
      <c r="C21" s="13" t="s">
        <v>84</v>
      </c>
      <c r="D21" s="13" t="s">
        <v>85</v>
      </c>
      <c r="E21" s="13" t="s">
        <v>86</v>
      </c>
      <c r="F21" s="13" t="s">
        <v>87</v>
      </c>
      <c r="G21" s="13" t="s">
        <v>134</v>
      </c>
      <c r="H21" s="13" t="s">
        <v>89</v>
      </c>
    </row>
    <row r="22" spans="1:8" x14ac:dyDescent="0.2">
      <c r="A22" s="14" t="s">
        <v>135</v>
      </c>
      <c r="B22" s="14" t="s">
        <v>90</v>
      </c>
      <c r="C22" s="14" t="s">
        <v>91</v>
      </c>
      <c r="D22" s="15">
        <v>1.3224261615658199</v>
      </c>
      <c r="E22" s="12">
        <f>C90</f>
        <v>1.3500311979441904E-13</v>
      </c>
      <c r="F22" s="14" t="str">
        <f>IF($B$7&lt;=$B$6,"No APR: fee is not less than the credit",IF(ABS(E22)&lt;0.005,"Solved","Run Solver"))</f>
        <v>Solved</v>
      </c>
      <c r="G22" s="16">
        <f>IFERROR(XIRR(C60:C72,$B$60:$B$72,D22),"n/a")</f>
        <v>1.3224261517129772</v>
      </c>
      <c r="H22" s="17">
        <f t="shared" ref="H22:H37" si="0">IFERROR(D22-G22,"n/a")</f>
        <v>9.8528427638910898E-9</v>
      </c>
    </row>
    <row r="23" spans="1:8" x14ac:dyDescent="0.2">
      <c r="A23" s="14" t="s">
        <v>135</v>
      </c>
      <c r="B23" s="14" t="s">
        <v>90</v>
      </c>
      <c r="C23" s="14" t="s">
        <v>92</v>
      </c>
      <c r="D23" s="15">
        <v>0.75968841072106208</v>
      </c>
      <c r="E23" s="12">
        <f>D90</f>
        <v>0</v>
      </c>
      <c r="F23" s="14" t="str">
        <f>IF(ABS(E23)&lt;0.005,"Solved","Run Solver")</f>
        <v>Solved</v>
      </c>
      <c r="G23" s="16">
        <f>IFERROR(XIRR(D60:D72,$B$60:$B$72,D23),"n/a")</f>
        <v>0.75968839940082256</v>
      </c>
      <c r="H23" s="17">
        <f t="shared" si="0"/>
        <v>1.1320239523548992E-8</v>
      </c>
    </row>
    <row r="24" spans="1:8" x14ac:dyDescent="0.2">
      <c r="A24" s="14" t="s">
        <v>135</v>
      </c>
      <c r="B24" s="14" t="s">
        <v>90</v>
      </c>
      <c r="C24" s="14" t="s">
        <v>93</v>
      </c>
      <c r="D24" s="15">
        <v>0.92302418092690752</v>
      </c>
      <c r="E24" s="12">
        <f>E90</f>
        <v>0</v>
      </c>
      <c r="F24" s="14" t="str">
        <f>IF(ABS(E24)&lt;0.005,"Solved","Run Solver")</f>
        <v>Solved</v>
      </c>
      <c r="G24" s="16">
        <f>IFERROR(XIRR(E60:E72,$B$60:$B$72,D24),"n/a")</f>
        <v>0.92302416717277547</v>
      </c>
      <c r="H24" s="17">
        <f t="shared" si="0"/>
        <v>1.3754132055510127E-8</v>
      </c>
    </row>
    <row r="25" spans="1:8" x14ac:dyDescent="0.2">
      <c r="A25" s="14" t="s">
        <v>135</v>
      </c>
      <c r="B25" s="14" t="s">
        <v>90</v>
      </c>
      <c r="C25" s="14" t="s">
        <v>94</v>
      </c>
      <c r="D25" s="15">
        <v>1.0369422317721917</v>
      </c>
      <c r="E25" s="12">
        <f>F90</f>
        <v>-1.3500311979441904E-13</v>
      </c>
      <c r="F25" s="14" t="str">
        <f>IF(ABS(E25)&lt;0.005,"Solved","Run Solver")</f>
        <v>Solved</v>
      </c>
      <c r="G25" s="16">
        <f>IFERROR(XIRR(F60:F72,$B$60:$B$72,D25),"n/a")</f>
        <v>1.0369422240463702</v>
      </c>
      <c r="H25" s="17">
        <f t="shared" si="0"/>
        <v>7.7258215380737738E-9</v>
      </c>
    </row>
    <row r="26" spans="1:8" x14ac:dyDescent="0.2">
      <c r="A26" s="14" t="s">
        <v>135</v>
      </c>
      <c r="B26" s="14" t="s">
        <v>95</v>
      </c>
      <c r="C26" s="14" t="s">
        <v>91</v>
      </c>
      <c r="D26" s="15">
        <v>1.2700148172884365</v>
      </c>
      <c r="E26" s="12">
        <f>G90</f>
        <v>1.0390834859208553E-9</v>
      </c>
      <c r="F26" s="14" t="str">
        <f>IF($B$7&lt;=$B$6,"No APR: fee is not less than the credit",IF(ABS(E26)&lt;0.005,"Solved","Run Solver"))</f>
        <v>Solved</v>
      </c>
      <c r="G26" s="16">
        <f>IFERROR(XIRR(G60:G72,$B$60:$B$72,D26),"n/a")</f>
        <v>1.2700148078260889</v>
      </c>
      <c r="H26" s="17">
        <f t="shared" si="0"/>
        <v>9.4623475721533623E-9</v>
      </c>
    </row>
    <row r="27" spans="1:8" x14ac:dyDescent="0.2">
      <c r="A27" s="14" t="s">
        <v>135</v>
      </c>
      <c r="B27" s="14" t="s">
        <v>95</v>
      </c>
      <c r="C27" s="14" t="s">
        <v>92</v>
      </c>
      <c r="D27" s="15">
        <v>0.74445790676359835</v>
      </c>
      <c r="E27" s="12">
        <f>H90</f>
        <v>0</v>
      </c>
      <c r="F27" s="14" t="str">
        <f>IF(ABS(E27)&lt;0.005,"Solved","Run Solver")</f>
        <v>Solved</v>
      </c>
      <c r="G27" s="16">
        <f>IFERROR(XIRR(H60:H72,$B$60:$B$72,D27),"n/a")</f>
        <v>0.74445789567031107</v>
      </c>
      <c r="H27" s="17">
        <f t="shared" si="0"/>
        <v>1.1093287288765907E-8</v>
      </c>
    </row>
    <row r="28" spans="1:8" x14ac:dyDescent="0.2">
      <c r="A28" s="14" t="s">
        <v>135</v>
      </c>
      <c r="B28" s="14" t="s">
        <v>95</v>
      </c>
      <c r="C28" s="14" t="s">
        <v>93</v>
      </c>
      <c r="D28" s="15">
        <v>0.89925027978250038</v>
      </c>
      <c r="E28" s="12">
        <f>I90</f>
        <v>0</v>
      </c>
      <c r="F28" s="14" t="str">
        <f>IF(ABS(E28)&lt;0.005,"Solved","Run Solver")</f>
        <v>Solved</v>
      </c>
      <c r="G28" s="16">
        <f>IFERROR(XIRR(I60:I72,$B$60:$B$72,D28),"n/a")</f>
        <v>0.89925026638262695</v>
      </c>
      <c r="H28" s="17">
        <f t="shared" si="0"/>
        <v>1.3399873433073139E-8</v>
      </c>
    </row>
    <row r="29" spans="1:8" x14ac:dyDescent="0.2">
      <c r="A29" s="14" t="s">
        <v>135</v>
      </c>
      <c r="B29" s="14" t="s">
        <v>95</v>
      </c>
      <c r="C29" s="14" t="s">
        <v>94</v>
      </c>
      <c r="D29" s="15">
        <v>1.0018458586741192</v>
      </c>
      <c r="E29" s="12">
        <f>J90</f>
        <v>0</v>
      </c>
      <c r="F29" s="14" t="str">
        <f>IF(ABS(E29)&lt;0.005,"Solved","Run Solver")</f>
        <v>Solved</v>
      </c>
      <c r="G29" s="16">
        <f>IFERROR(XIRR(J60:J72,$B$60:$B$72,D29),"n/a")</f>
        <v>1.0018458437454525</v>
      </c>
      <c r="H29" s="17">
        <f t="shared" si="0"/>
        <v>1.492866674723814E-8</v>
      </c>
    </row>
    <row r="30" spans="1:8" x14ac:dyDescent="0.2">
      <c r="A30" s="14" t="s">
        <v>136</v>
      </c>
      <c r="B30" s="14" t="s">
        <v>90</v>
      </c>
      <c r="C30" s="14" t="s">
        <v>91</v>
      </c>
      <c r="D30" s="15">
        <v>1.3189937900033404</v>
      </c>
      <c r="E30" s="12">
        <f>C142</f>
        <v>0</v>
      </c>
      <c r="F30" s="14" t="str">
        <f>IF($B$7&lt;=$B$6,"No APR: fee is not less than the credit",IF(ABS(E30)&lt;0.005,"Solved","Run Solver"))</f>
        <v>Solved</v>
      </c>
      <c r="G30" s="16">
        <f>IFERROR(XIRR(C112:C124,$B$112:$B$124,D30),"n/a")</f>
        <v>1.3189937801760707</v>
      </c>
      <c r="H30" s="17">
        <f t="shared" si="0"/>
        <v>9.827269664697269E-9</v>
      </c>
    </row>
    <row r="31" spans="1:8" x14ac:dyDescent="0.2">
      <c r="A31" s="14" t="s">
        <v>136</v>
      </c>
      <c r="B31" s="14" t="s">
        <v>90</v>
      </c>
      <c r="C31" s="14" t="s">
        <v>92</v>
      </c>
      <c r="D31" s="15">
        <v>0.75796400644172479</v>
      </c>
      <c r="E31" s="12">
        <f>D142</f>
        <v>0</v>
      </c>
      <c r="F31" s="14" t="str">
        <f>IF(ABS(E31)&lt;0.005,"Solved","Run Solver")</f>
        <v>Solved</v>
      </c>
      <c r="G31" s="16">
        <f>IFERROR(XIRR(D112:D124,$B$112:$B$124,D31),"n/a")</f>
        <v>0.75796399514718094</v>
      </c>
      <c r="H31" s="17">
        <f t="shared" si="0"/>
        <v>1.1294543855733252E-8</v>
      </c>
    </row>
    <row r="32" spans="1:8" x14ac:dyDescent="0.2">
      <c r="A32" s="14" t="s">
        <v>136</v>
      </c>
      <c r="B32" s="14" t="s">
        <v>90</v>
      </c>
      <c r="C32" s="14" t="s">
        <v>93</v>
      </c>
      <c r="D32" s="15">
        <v>0.92078697759115735</v>
      </c>
      <c r="E32" s="12">
        <f>E142</f>
        <v>0</v>
      </c>
      <c r="F32" s="14" t="str">
        <f>IF(ABS(E32)&lt;0.005,"Solved","Run Solver")</f>
        <v>Solved</v>
      </c>
      <c r="G32" s="16">
        <f>IFERROR(XIRR(E112:E124,$B$112:$B$124,D32),"n/a")</f>
        <v>0.92078696387036207</v>
      </c>
      <c r="H32" s="17">
        <f t="shared" si="0"/>
        <v>1.3720795277727404E-8</v>
      </c>
    </row>
    <row r="33" spans="1:12" x14ac:dyDescent="0.2">
      <c r="A33" s="14" t="s">
        <v>136</v>
      </c>
      <c r="B33" s="14" t="s">
        <v>90</v>
      </c>
      <c r="C33" s="14" t="s">
        <v>94</v>
      </c>
      <c r="D33" s="15">
        <v>1.0345827926865694</v>
      </c>
      <c r="E33" s="12">
        <f>F142</f>
        <v>0</v>
      </c>
      <c r="F33" s="14" t="str">
        <f>IF(ABS(E33)&lt;0.005,"Solved","Run Solver")</f>
        <v>Solved</v>
      </c>
      <c r="G33" s="16">
        <f>IFERROR(XIRR(F112:F124,$B$112:$B$124,D33),"n/a")</f>
        <v>1.0345827849783271</v>
      </c>
      <c r="H33" s="17">
        <f t="shared" si="0"/>
        <v>7.7082422667018591E-9</v>
      </c>
    </row>
    <row r="34" spans="1:12" x14ac:dyDescent="0.2">
      <c r="A34" s="14" t="s">
        <v>136</v>
      </c>
      <c r="B34" s="14" t="s">
        <v>95</v>
      </c>
      <c r="C34" s="14" t="s">
        <v>91</v>
      </c>
      <c r="D34" s="15">
        <v>1.2667228768793928</v>
      </c>
      <c r="E34" s="12">
        <f>G142</f>
        <v>-1.1368683772161603E-13</v>
      </c>
      <c r="F34" s="14" t="str">
        <f>IF($B$7&lt;=$B$6,"No APR: fee is not less than the credit",IF(ABS(E34)&lt;0.005,"Solved","Run Solver"))</f>
        <v>Solved</v>
      </c>
      <c r="G34" s="16">
        <f>IFERROR(XIRR(G112:G124,$B$112:$B$124,D34),"n/a")</f>
        <v>1.266722867441572</v>
      </c>
      <c r="H34" s="17">
        <f t="shared" si="0"/>
        <v>9.4378207471379483E-9</v>
      </c>
    </row>
    <row r="35" spans="1:12" x14ac:dyDescent="0.2">
      <c r="A35" s="14" t="s">
        <v>136</v>
      </c>
      <c r="B35" s="14" t="s">
        <v>95</v>
      </c>
      <c r="C35" s="14" t="s">
        <v>92</v>
      </c>
      <c r="D35" s="15">
        <v>0.74277457783904977</v>
      </c>
      <c r="E35" s="12">
        <f>H142</f>
        <v>0</v>
      </c>
      <c r="F35" s="14" t="str">
        <f>IF(ABS(E35)&lt;0.005,"Solved","Run Solver")</f>
        <v>Solved</v>
      </c>
      <c r="G35" s="16">
        <f>IFERROR(XIRR(H112:H124,$B$112:$B$124,D35),"n/a")</f>
        <v>0.74277456677084608</v>
      </c>
      <c r="H35" s="17">
        <f t="shared" si="0"/>
        <v>1.1068203686903644E-8</v>
      </c>
    </row>
    <row r="36" spans="1:12" x14ac:dyDescent="0.2">
      <c r="A36" s="14" t="s">
        <v>136</v>
      </c>
      <c r="B36" s="14" t="s">
        <v>95</v>
      </c>
      <c r="C36" s="14" t="s">
        <v>93</v>
      </c>
      <c r="D36" s="15">
        <v>0.8970771261490823</v>
      </c>
      <c r="E36" s="12">
        <f>I142</f>
        <v>0</v>
      </c>
      <c r="F36" s="14" t="str">
        <f>IF(ABS(E36)&lt;0.005,"Solved","Run Solver")</f>
        <v>Solved</v>
      </c>
      <c r="G36" s="16">
        <f>IFERROR(XIRR(I112:I124,$B$112:$B$124,D36),"n/a")</f>
        <v>0.89707711278159152</v>
      </c>
      <c r="H36" s="17">
        <f t="shared" si="0"/>
        <v>1.336749078095778E-8</v>
      </c>
    </row>
    <row r="37" spans="1:12" x14ac:dyDescent="0.2">
      <c r="A37" s="14" t="s">
        <v>136</v>
      </c>
      <c r="B37" s="14" t="s">
        <v>95</v>
      </c>
      <c r="C37" s="14" t="s">
        <v>94</v>
      </c>
      <c r="D37" s="15">
        <v>0.99956931155063733</v>
      </c>
      <c r="E37" s="12">
        <f>J142</f>
        <v>-1.2789769243681803E-13</v>
      </c>
      <c r="F37" s="14" t="str">
        <f>IF(ABS(E37)&lt;0.005,"Solved","Run Solver")</f>
        <v>Solved</v>
      </c>
      <c r="G37" s="16">
        <f>IFERROR(XIRR(J112:J124,$B$112:$B$124,D37),"n/a")</f>
        <v>0.999569296655894</v>
      </c>
      <c r="H37" s="17">
        <f t="shared" si="0"/>
        <v>1.4894743327609206E-8</v>
      </c>
    </row>
    <row r="38" spans="1:12" x14ac:dyDescent="0.2">
      <c r="A38" s="18" t="s">
        <v>96</v>
      </c>
      <c r="D38" s="19">
        <f>SUMSQ(E22:E37)</f>
        <v>1.0796945564476378E-18</v>
      </c>
      <c r="E38" s="5" t="s">
        <v>97</v>
      </c>
    </row>
    <row r="39" spans="1:12" x14ac:dyDescent="0.2">
      <c r="A39" s="5" t="s">
        <v>137</v>
      </c>
    </row>
    <row r="42" spans="1:12" x14ac:dyDescent="0.2">
      <c r="A42" s="6" t="s">
        <v>138</v>
      </c>
    </row>
    <row r="43" spans="1:12" ht="56" customHeight="1" x14ac:dyDescent="0.2">
      <c r="A43" s="13" t="s">
        <v>100</v>
      </c>
      <c r="B43" s="13" t="s">
        <v>139</v>
      </c>
      <c r="C43" s="13" t="s">
        <v>140</v>
      </c>
      <c r="D43" s="13" t="s">
        <v>141</v>
      </c>
      <c r="E43" s="13" t="s">
        <v>142</v>
      </c>
      <c r="F43" s="13" t="s">
        <v>143</v>
      </c>
      <c r="G43" s="13" t="s">
        <v>101</v>
      </c>
      <c r="H43" s="13" t="s">
        <v>102</v>
      </c>
      <c r="I43" s="13" t="s">
        <v>103</v>
      </c>
      <c r="J43" s="13" t="s">
        <v>104</v>
      </c>
      <c r="K43" s="13" t="s">
        <v>105</v>
      </c>
      <c r="L43" s="13" t="s">
        <v>106</v>
      </c>
    </row>
    <row r="44" spans="1:12" x14ac:dyDescent="0.2">
      <c r="A44" s="10">
        <v>0</v>
      </c>
      <c r="B44" s="23">
        <f>$B$12</f>
        <v>45910</v>
      </c>
      <c r="C44" s="10">
        <f t="shared" ref="C44:C56" si="1">B44-$B$12</f>
        <v>0</v>
      </c>
      <c r="D44" s="14"/>
      <c r="E44" s="14"/>
      <c r="F44" s="14"/>
      <c r="G44" s="14"/>
      <c r="H44" s="14"/>
      <c r="I44" s="14"/>
      <c r="J44" s="14"/>
      <c r="K44" s="14"/>
      <c r="L44" s="14"/>
    </row>
    <row r="45" spans="1:12" x14ac:dyDescent="0.2">
      <c r="A45" s="10">
        <v>1</v>
      </c>
      <c r="B45" s="23">
        <f t="shared" ref="B45:B56" si="2">EDATE($B$12,A45)</f>
        <v>45940</v>
      </c>
      <c r="C45" s="10">
        <f t="shared" si="1"/>
        <v>30</v>
      </c>
      <c r="D45" s="10">
        <f t="shared" ref="D45:D56" si="3">C45-C44</f>
        <v>30</v>
      </c>
      <c r="E45" s="11">
        <f t="shared" ref="E45:E56" si="4">(1+$B$5)^(D45/365)-1</f>
        <v>2.1785452066576116E-2</v>
      </c>
      <c r="F45" s="19">
        <f t="shared" ref="F45:F56" si="5">(1+$B$5)^(-C45/365)</f>
        <v>0.97867903479882712</v>
      </c>
      <c r="G45" s="12">
        <f t="shared" ref="G45:G56" si="6">$B$7-$B$17*(A45-1)</f>
        <v>1200</v>
      </c>
      <c r="H45" s="12">
        <f t="shared" ref="H45:H56" si="7">$B$17+G45*E45</f>
        <v>126.14254247989135</v>
      </c>
      <c r="I45" s="12">
        <f t="shared" ref="I45:I56" si="8">$B$7/SUM($F$45:$F$56)</f>
        <v>114.89764581588672</v>
      </c>
      <c r="J45" s="12">
        <f t="shared" ref="J45:J56" si="9">$B$16-$B$18*(A45-1)</f>
        <v>1490</v>
      </c>
      <c r="K45" s="12">
        <f t="shared" ref="K45:K56" si="10">$B$18+J45*E45</f>
        <v>156.6269902458651</v>
      </c>
      <c r="L45" s="12">
        <f t="shared" ref="L45:L56" si="11">$B$16/SUM($F$45:$F$56)</f>
        <v>142.66457688805934</v>
      </c>
    </row>
    <row r="46" spans="1:12" x14ac:dyDescent="0.2">
      <c r="A46" s="10">
        <v>2</v>
      </c>
      <c r="B46" s="23">
        <f t="shared" si="2"/>
        <v>45971</v>
      </c>
      <c r="C46" s="10">
        <f t="shared" si="1"/>
        <v>61</v>
      </c>
      <c r="D46" s="10">
        <f t="shared" si="3"/>
        <v>31</v>
      </c>
      <c r="E46" s="11">
        <f t="shared" si="4"/>
        <v>2.2519750799666394E-2</v>
      </c>
      <c r="F46" s="19">
        <f t="shared" si="5"/>
        <v>0.95712482231609375</v>
      </c>
      <c r="G46" s="12">
        <f t="shared" si="6"/>
        <v>1100</v>
      </c>
      <c r="H46" s="12">
        <f t="shared" si="7"/>
        <v>124.77172587963304</v>
      </c>
      <c r="I46" s="12">
        <f t="shared" si="8"/>
        <v>114.89764581588672</v>
      </c>
      <c r="J46" s="12">
        <f t="shared" si="9"/>
        <v>1365.8333333333333</v>
      </c>
      <c r="K46" s="12">
        <f t="shared" si="10"/>
        <v>154.92489296721101</v>
      </c>
      <c r="L46" s="12">
        <f t="shared" si="11"/>
        <v>142.66457688805934</v>
      </c>
    </row>
    <row r="47" spans="1:12" x14ac:dyDescent="0.2">
      <c r="A47" s="10">
        <v>3</v>
      </c>
      <c r="B47" s="23">
        <f t="shared" si="2"/>
        <v>46001</v>
      </c>
      <c r="C47" s="10">
        <f t="shared" si="1"/>
        <v>91</v>
      </c>
      <c r="D47" s="10">
        <f t="shared" si="3"/>
        <v>30</v>
      </c>
      <c r="E47" s="11">
        <f t="shared" si="4"/>
        <v>2.1785452066576116E-2</v>
      </c>
      <c r="F47" s="19">
        <f t="shared" si="5"/>
        <v>0.93671799728631344</v>
      </c>
      <c r="G47" s="12">
        <f t="shared" si="6"/>
        <v>1000</v>
      </c>
      <c r="H47" s="12">
        <f t="shared" si="7"/>
        <v>121.78545206657611</v>
      </c>
      <c r="I47" s="12">
        <f t="shared" si="8"/>
        <v>114.89764581588672</v>
      </c>
      <c r="J47" s="12">
        <f t="shared" si="9"/>
        <v>1241.6666666666667</v>
      </c>
      <c r="K47" s="12">
        <f t="shared" si="10"/>
        <v>151.21693631599868</v>
      </c>
      <c r="L47" s="12">
        <f t="shared" si="11"/>
        <v>142.66457688805934</v>
      </c>
    </row>
    <row r="48" spans="1:12" x14ac:dyDescent="0.2">
      <c r="A48" s="10">
        <v>4</v>
      </c>
      <c r="B48" s="23">
        <f t="shared" si="2"/>
        <v>46032</v>
      </c>
      <c r="C48" s="10">
        <f t="shared" si="1"/>
        <v>122</v>
      </c>
      <c r="D48" s="10">
        <f t="shared" si="3"/>
        <v>31</v>
      </c>
      <c r="E48" s="11">
        <f t="shared" si="4"/>
        <v>2.2519750799666394E-2</v>
      </c>
      <c r="F48" s="19">
        <f t="shared" si="5"/>
        <v>0.91608792549361395</v>
      </c>
      <c r="G48" s="12">
        <f t="shared" si="6"/>
        <v>900</v>
      </c>
      <c r="H48" s="12">
        <f t="shared" si="7"/>
        <v>120.26777571969976</v>
      </c>
      <c r="I48" s="12">
        <f t="shared" si="8"/>
        <v>114.89764581588672</v>
      </c>
      <c r="J48" s="12">
        <f t="shared" si="9"/>
        <v>1117.5</v>
      </c>
      <c r="K48" s="12">
        <f t="shared" si="10"/>
        <v>149.33248818529387</v>
      </c>
      <c r="L48" s="12">
        <f t="shared" si="11"/>
        <v>142.66457688805934</v>
      </c>
    </row>
    <row r="49" spans="1:12" x14ac:dyDescent="0.2">
      <c r="A49" s="10">
        <v>5</v>
      </c>
      <c r="B49" s="23">
        <f t="shared" si="2"/>
        <v>46063</v>
      </c>
      <c r="C49" s="10">
        <f t="shared" si="1"/>
        <v>153</v>
      </c>
      <c r="D49" s="10">
        <f t="shared" si="3"/>
        <v>31</v>
      </c>
      <c r="E49" s="11">
        <f t="shared" si="4"/>
        <v>2.2519750799666394E-2</v>
      </c>
      <c r="F49" s="19">
        <f t="shared" si="5"/>
        <v>0.89591220587884302</v>
      </c>
      <c r="G49" s="12">
        <f t="shared" si="6"/>
        <v>800</v>
      </c>
      <c r="H49" s="12">
        <f t="shared" si="7"/>
        <v>118.01580063973311</v>
      </c>
      <c r="I49" s="12">
        <f t="shared" si="8"/>
        <v>114.89764581588672</v>
      </c>
      <c r="J49" s="12">
        <f t="shared" si="9"/>
        <v>993.33333333333326</v>
      </c>
      <c r="K49" s="12">
        <f t="shared" si="10"/>
        <v>146.5362857943353</v>
      </c>
      <c r="L49" s="12">
        <f t="shared" si="11"/>
        <v>142.66457688805934</v>
      </c>
    </row>
    <row r="50" spans="1:12" x14ac:dyDescent="0.2">
      <c r="A50" s="10">
        <v>6</v>
      </c>
      <c r="B50" s="23">
        <f t="shared" si="2"/>
        <v>46091</v>
      </c>
      <c r="C50" s="10">
        <f t="shared" si="1"/>
        <v>181</v>
      </c>
      <c r="D50" s="10">
        <f t="shared" si="3"/>
        <v>28</v>
      </c>
      <c r="E50" s="11">
        <f t="shared" si="4"/>
        <v>2.0318436180289057E-2</v>
      </c>
      <c r="F50" s="19">
        <f t="shared" si="5"/>
        <v>0.87807117279270308</v>
      </c>
      <c r="G50" s="12">
        <f t="shared" si="6"/>
        <v>700</v>
      </c>
      <c r="H50" s="12">
        <f t="shared" si="7"/>
        <v>114.22290532620234</v>
      </c>
      <c r="I50" s="12">
        <f t="shared" si="8"/>
        <v>114.89764581588672</v>
      </c>
      <c r="J50" s="12">
        <f t="shared" si="9"/>
        <v>869.16666666666663</v>
      </c>
      <c r="K50" s="12">
        <f t="shared" si="10"/>
        <v>141.82677411336792</v>
      </c>
      <c r="L50" s="12">
        <f t="shared" si="11"/>
        <v>142.66457688805934</v>
      </c>
    </row>
    <row r="51" spans="1:12" x14ac:dyDescent="0.2">
      <c r="A51" s="10">
        <v>7</v>
      </c>
      <c r="B51" s="23">
        <f t="shared" si="2"/>
        <v>46122</v>
      </c>
      <c r="C51" s="10">
        <f t="shared" si="1"/>
        <v>212</v>
      </c>
      <c r="D51" s="10">
        <f t="shared" si="3"/>
        <v>31</v>
      </c>
      <c r="E51" s="11">
        <f t="shared" si="4"/>
        <v>2.2519750799666394E-2</v>
      </c>
      <c r="F51" s="19">
        <f t="shared" si="5"/>
        <v>0.85873272580407689</v>
      </c>
      <c r="G51" s="12">
        <f t="shared" si="6"/>
        <v>600</v>
      </c>
      <c r="H51" s="12">
        <f t="shared" si="7"/>
        <v>113.51185047979983</v>
      </c>
      <c r="I51" s="12">
        <f t="shared" si="8"/>
        <v>114.89764581588672</v>
      </c>
      <c r="J51" s="12">
        <f t="shared" si="9"/>
        <v>745</v>
      </c>
      <c r="K51" s="12">
        <f t="shared" si="10"/>
        <v>140.94388101241813</v>
      </c>
      <c r="L51" s="12">
        <f t="shared" si="11"/>
        <v>142.66457688805934</v>
      </c>
    </row>
    <row r="52" spans="1:12" x14ac:dyDescent="0.2">
      <c r="A52" s="10">
        <v>8</v>
      </c>
      <c r="B52" s="23">
        <f t="shared" si="2"/>
        <v>46152</v>
      </c>
      <c r="C52" s="10">
        <f t="shared" si="1"/>
        <v>242</v>
      </c>
      <c r="D52" s="10">
        <f t="shared" si="3"/>
        <v>30</v>
      </c>
      <c r="E52" s="11">
        <f t="shared" si="4"/>
        <v>2.1785452066576116E-2</v>
      </c>
      <c r="F52" s="19">
        <f t="shared" si="5"/>
        <v>0.84042371524009996</v>
      </c>
      <c r="G52" s="12">
        <f t="shared" si="6"/>
        <v>500</v>
      </c>
      <c r="H52" s="12">
        <f t="shared" si="7"/>
        <v>110.89272603328806</v>
      </c>
      <c r="I52" s="12">
        <f t="shared" si="8"/>
        <v>114.89764581588672</v>
      </c>
      <c r="J52" s="12">
        <f t="shared" si="9"/>
        <v>620.83333333333326</v>
      </c>
      <c r="K52" s="12">
        <f t="shared" si="10"/>
        <v>137.69180149133268</v>
      </c>
      <c r="L52" s="12">
        <f t="shared" si="11"/>
        <v>142.66457688805934</v>
      </c>
    </row>
    <row r="53" spans="1:12" x14ac:dyDescent="0.2">
      <c r="A53" s="10">
        <v>9</v>
      </c>
      <c r="B53" s="23">
        <f t="shared" si="2"/>
        <v>46183</v>
      </c>
      <c r="C53" s="10">
        <f t="shared" si="1"/>
        <v>273</v>
      </c>
      <c r="D53" s="10">
        <f t="shared" si="3"/>
        <v>31</v>
      </c>
      <c r="E53" s="11">
        <f t="shared" si="4"/>
        <v>2.2519750799666394E-2</v>
      </c>
      <c r="F53" s="19">
        <f t="shared" si="5"/>
        <v>0.8219144076022421</v>
      </c>
      <c r="G53" s="12">
        <f t="shared" si="6"/>
        <v>400</v>
      </c>
      <c r="H53" s="12">
        <f t="shared" si="7"/>
        <v>109.00790031986656</v>
      </c>
      <c r="I53" s="12">
        <f t="shared" si="8"/>
        <v>114.89764581588672</v>
      </c>
      <c r="J53" s="12">
        <f t="shared" si="9"/>
        <v>496.66666666666663</v>
      </c>
      <c r="K53" s="12">
        <f t="shared" si="10"/>
        <v>135.35147623050099</v>
      </c>
      <c r="L53" s="12">
        <f t="shared" si="11"/>
        <v>142.66457688805934</v>
      </c>
    </row>
    <row r="54" spans="1:12" x14ac:dyDescent="0.2">
      <c r="A54" s="10">
        <v>10</v>
      </c>
      <c r="B54" s="23">
        <f t="shared" si="2"/>
        <v>46213</v>
      </c>
      <c r="C54" s="10">
        <f t="shared" si="1"/>
        <v>303</v>
      </c>
      <c r="D54" s="10">
        <f t="shared" si="3"/>
        <v>30</v>
      </c>
      <c r="E54" s="11">
        <f t="shared" si="4"/>
        <v>2.1785452066576116E-2</v>
      </c>
      <c r="F54" s="19">
        <f t="shared" si="5"/>
        <v>0.80439039911941201</v>
      </c>
      <c r="G54" s="12">
        <f t="shared" si="6"/>
        <v>300</v>
      </c>
      <c r="H54" s="12">
        <f t="shared" si="7"/>
        <v>106.53563561997284</v>
      </c>
      <c r="I54" s="12">
        <f t="shared" si="8"/>
        <v>114.89764581588672</v>
      </c>
      <c r="J54" s="12">
        <f t="shared" si="9"/>
        <v>372.5</v>
      </c>
      <c r="K54" s="12">
        <f t="shared" si="10"/>
        <v>132.28174756146626</v>
      </c>
      <c r="L54" s="12">
        <f t="shared" si="11"/>
        <v>142.66457688805934</v>
      </c>
    </row>
    <row r="55" spans="1:12" x14ac:dyDescent="0.2">
      <c r="A55" s="10">
        <v>11</v>
      </c>
      <c r="B55" s="23">
        <f t="shared" si="2"/>
        <v>46244</v>
      </c>
      <c r="C55" s="10">
        <f t="shared" si="1"/>
        <v>334</v>
      </c>
      <c r="D55" s="10">
        <f t="shared" si="3"/>
        <v>31</v>
      </c>
      <c r="E55" s="11">
        <f t="shared" si="4"/>
        <v>2.2519750799666394E-2</v>
      </c>
      <c r="F55" s="19">
        <f t="shared" si="5"/>
        <v>0.78667468133533336</v>
      </c>
      <c r="G55" s="12">
        <f t="shared" si="6"/>
        <v>200</v>
      </c>
      <c r="H55" s="12">
        <f t="shared" si="7"/>
        <v>104.50395015993328</v>
      </c>
      <c r="I55" s="12">
        <f t="shared" si="8"/>
        <v>114.89764581588672</v>
      </c>
      <c r="J55" s="12">
        <f t="shared" si="9"/>
        <v>248.33333333333326</v>
      </c>
      <c r="K55" s="12">
        <f t="shared" si="10"/>
        <v>129.75907144858382</v>
      </c>
      <c r="L55" s="12">
        <f t="shared" si="11"/>
        <v>142.66457688805934</v>
      </c>
    </row>
    <row r="56" spans="1:12" x14ac:dyDescent="0.2">
      <c r="A56" s="10">
        <v>12</v>
      </c>
      <c r="B56" s="23">
        <f t="shared" si="2"/>
        <v>46275</v>
      </c>
      <c r="C56" s="10">
        <f t="shared" si="1"/>
        <v>365</v>
      </c>
      <c r="D56" s="10">
        <f t="shared" si="3"/>
        <v>31</v>
      </c>
      <c r="E56" s="11">
        <f t="shared" si="4"/>
        <v>2.2519750799666394E-2</v>
      </c>
      <c r="F56" s="19">
        <f t="shared" si="5"/>
        <v>0.76934913063548238</v>
      </c>
      <c r="G56" s="12">
        <f t="shared" si="6"/>
        <v>100</v>
      </c>
      <c r="H56" s="12">
        <f t="shared" si="7"/>
        <v>102.25197507996664</v>
      </c>
      <c r="I56" s="12">
        <f t="shared" si="8"/>
        <v>114.89764581588672</v>
      </c>
      <c r="J56" s="12">
        <f t="shared" si="9"/>
        <v>124.16666666666652</v>
      </c>
      <c r="K56" s="12">
        <f t="shared" si="10"/>
        <v>126.96286905762524</v>
      </c>
      <c r="L56" s="12">
        <f t="shared" si="11"/>
        <v>142.66457688805934</v>
      </c>
    </row>
    <row r="57" spans="1:12" x14ac:dyDescent="0.2">
      <c r="A57" s="5" t="s">
        <v>144</v>
      </c>
    </row>
    <row r="58" spans="1:12" x14ac:dyDescent="0.2">
      <c r="A58" s="6" t="s">
        <v>145</v>
      </c>
    </row>
    <row r="59" spans="1:12" ht="42" customHeight="1" x14ac:dyDescent="0.2">
      <c r="A59" s="13" t="s">
        <v>100</v>
      </c>
      <c r="B59" s="13" t="s">
        <v>146</v>
      </c>
      <c r="C59" s="13" t="s">
        <v>107</v>
      </c>
      <c r="D59" s="13" t="s">
        <v>108</v>
      </c>
      <c r="E59" s="13" t="s">
        <v>109</v>
      </c>
      <c r="F59" s="13" t="s">
        <v>110</v>
      </c>
      <c r="G59" s="13" t="s">
        <v>111</v>
      </c>
      <c r="H59" s="13" t="s">
        <v>112</v>
      </c>
      <c r="I59" s="13" t="s">
        <v>113</v>
      </c>
      <c r="J59" s="13" t="s">
        <v>114</v>
      </c>
    </row>
    <row r="60" spans="1:12" x14ac:dyDescent="0.2">
      <c r="A60" s="10">
        <v>0</v>
      </c>
      <c r="B60" s="23">
        <f t="shared" ref="B60:B72" si="12">B44</f>
        <v>45910</v>
      </c>
      <c r="C60" s="12">
        <f>$B$7-$B$6</f>
        <v>910</v>
      </c>
      <c r="D60" s="12">
        <f>$B$7</f>
        <v>1200</v>
      </c>
      <c r="E60" s="12">
        <f>$B$7</f>
        <v>1200</v>
      </c>
      <c r="F60" s="12">
        <f>$B$7</f>
        <v>1200</v>
      </c>
      <c r="G60" s="12">
        <f>$B$7-$B$6</f>
        <v>910</v>
      </c>
      <c r="H60" s="12">
        <f>$B$7</f>
        <v>1200</v>
      </c>
      <c r="I60" s="12">
        <f>$B$7</f>
        <v>1200</v>
      </c>
      <c r="J60" s="12">
        <f>$B$7</f>
        <v>1200</v>
      </c>
    </row>
    <row r="61" spans="1:12" x14ac:dyDescent="0.2">
      <c r="A61" s="10">
        <v>1</v>
      </c>
      <c r="B61" s="23">
        <f t="shared" si="12"/>
        <v>45940</v>
      </c>
      <c r="C61" s="12">
        <f t="shared" ref="C61:C72" si="13">-H45</f>
        <v>-126.14254247989135</v>
      </c>
      <c r="D61" s="12">
        <f t="shared" ref="D61:D72" si="14">-H45-IF(A61=12,$B$6,0)</f>
        <v>-126.14254247989135</v>
      </c>
      <c r="E61" s="12">
        <f t="shared" ref="E61:E72" si="15">-H45-$B$6/12</f>
        <v>-150.309209146558</v>
      </c>
      <c r="F61" s="12">
        <f t="shared" ref="F61:F72" si="16">-K45</f>
        <v>-156.6269902458651</v>
      </c>
      <c r="G61" s="12">
        <f t="shared" ref="G61:G72" si="17">-I45</f>
        <v>-114.89764581588672</v>
      </c>
      <c r="H61" s="12">
        <f t="shared" ref="H61:H72" si="18">-I45-IF(A61=12,$B$6,0)</f>
        <v>-114.89764581588672</v>
      </c>
      <c r="I61" s="12">
        <f t="shared" ref="I61:I72" si="19">-I45-$B$6/12</f>
        <v>-139.06431248255339</v>
      </c>
      <c r="J61" s="12">
        <f t="shared" ref="J61:J72" si="20">-L45</f>
        <v>-142.66457688805934</v>
      </c>
    </row>
    <row r="62" spans="1:12" x14ac:dyDescent="0.2">
      <c r="A62" s="10">
        <v>2</v>
      </c>
      <c r="B62" s="23">
        <f t="shared" si="12"/>
        <v>45971</v>
      </c>
      <c r="C62" s="12">
        <f t="shared" si="13"/>
        <v>-124.77172587963304</v>
      </c>
      <c r="D62" s="12">
        <f t="shared" si="14"/>
        <v>-124.77172587963304</v>
      </c>
      <c r="E62" s="12">
        <f t="shared" si="15"/>
        <v>-148.9383925462997</v>
      </c>
      <c r="F62" s="12">
        <f t="shared" si="16"/>
        <v>-154.92489296721101</v>
      </c>
      <c r="G62" s="12">
        <f t="shared" si="17"/>
        <v>-114.89764581588672</v>
      </c>
      <c r="H62" s="12">
        <f t="shared" si="18"/>
        <v>-114.89764581588672</v>
      </c>
      <c r="I62" s="12">
        <f t="shared" si="19"/>
        <v>-139.06431248255339</v>
      </c>
      <c r="J62" s="12">
        <f t="shared" si="20"/>
        <v>-142.66457688805934</v>
      </c>
    </row>
    <row r="63" spans="1:12" x14ac:dyDescent="0.2">
      <c r="A63" s="10">
        <v>3</v>
      </c>
      <c r="B63" s="23">
        <f t="shared" si="12"/>
        <v>46001</v>
      </c>
      <c r="C63" s="12">
        <f t="shared" si="13"/>
        <v>-121.78545206657611</v>
      </c>
      <c r="D63" s="12">
        <f t="shared" si="14"/>
        <v>-121.78545206657611</v>
      </c>
      <c r="E63" s="12">
        <f t="shared" si="15"/>
        <v>-145.95211873324277</v>
      </c>
      <c r="F63" s="12">
        <f t="shared" si="16"/>
        <v>-151.21693631599868</v>
      </c>
      <c r="G63" s="12">
        <f t="shared" si="17"/>
        <v>-114.89764581588672</v>
      </c>
      <c r="H63" s="12">
        <f t="shared" si="18"/>
        <v>-114.89764581588672</v>
      </c>
      <c r="I63" s="12">
        <f t="shared" si="19"/>
        <v>-139.06431248255339</v>
      </c>
      <c r="J63" s="12">
        <f t="shared" si="20"/>
        <v>-142.66457688805934</v>
      </c>
    </row>
    <row r="64" spans="1:12" x14ac:dyDescent="0.2">
      <c r="A64" s="10">
        <v>4</v>
      </c>
      <c r="B64" s="23">
        <f t="shared" si="12"/>
        <v>46032</v>
      </c>
      <c r="C64" s="12">
        <f t="shared" si="13"/>
        <v>-120.26777571969976</v>
      </c>
      <c r="D64" s="12">
        <f t="shared" si="14"/>
        <v>-120.26777571969976</v>
      </c>
      <c r="E64" s="12">
        <f t="shared" si="15"/>
        <v>-144.43444238636641</v>
      </c>
      <c r="F64" s="12">
        <f t="shared" si="16"/>
        <v>-149.33248818529387</v>
      </c>
      <c r="G64" s="12">
        <f t="shared" si="17"/>
        <v>-114.89764581588672</v>
      </c>
      <c r="H64" s="12">
        <f t="shared" si="18"/>
        <v>-114.89764581588672</v>
      </c>
      <c r="I64" s="12">
        <f t="shared" si="19"/>
        <v>-139.06431248255339</v>
      </c>
      <c r="J64" s="12">
        <f t="shared" si="20"/>
        <v>-142.66457688805934</v>
      </c>
    </row>
    <row r="65" spans="1:10" x14ac:dyDescent="0.2">
      <c r="A65" s="10">
        <v>5</v>
      </c>
      <c r="B65" s="23">
        <f t="shared" si="12"/>
        <v>46063</v>
      </c>
      <c r="C65" s="12">
        <f t="shared" si="13"/>
        <v>-118.01580063973311</v>
      </c>
      <c r="D65" s="12">
        <f t="shared" si="14"/>
        <v>-118.01580063973311</v>
      </c>
      <c r="E65" s="12">
        <f t="shared" si="15"/>
        <v>-142.18246730639979</v>
      </c>
      <c r="F65" s="12">
        <f t="shared" si="16"/>
        <v>-146.5362857943353</v>
      </c>
      <c r="G65" s="12">
        <f t="shared" si="17"/>
        <v>-114.89764581588672</v>
      </c>
      <c r="H65" s="12">
        <f t="shared" si="18"/>
        <v>-114.89764581588672</v>
      </c>
      <c r="I65" s="12">
        <f t="shared" si="19"/>
        <v>-139.06431248255339</v>
      </c>
      <c r="J65" s="12">
        <f t="shared" si="20"/>
        <v>-142.66457688805934</v>
      </c>
    </row>
    <row r="66" spans="1:10" x14ac:dyDescent="0.2">
      <c r="A66" s="10">
        <v>6</v>
      </c>
      <c r="B66" s="23">
        <f t="shared" si="12"/>
        <v>46091</v>
      </c>
      <c r="C66" s="12">
        <f t="shared" si="13"/>
        <v>-114.22290532620234</v>
      </c>
      <c r="D66" s="12">
        <f t="shared" si="14"/>
        <v>-114.22290532620234</v>
      </c>
      <c r="E66" s="12">
        <f t="shared" si="15"/>
        <v>-138.38957199286901</v>
      </c>
      <c r="F66" s="12">
        <f t="shared" si="16"/>
        <v>-141.82677411336792</v>
      </c>
      <c r="G66" s="12">
        <f t="shared" si="17"/>
        <v>-114.89764581588672</v>
      </c>
      <c r="H66" s="12">
        <f t="shared" si="18"/>
        <v>-114.89764581588672</v>
      </c>
      <c r="I66" s="12">
        <f t="shared" si="19"/>
        <v>-139.06431248255339</v>
      </c>
      <c r="J66" s="12">
        <f t="shared" si="20"/>
        <v>-142.66457688805934</v>
      </c>
    </row>
    <row r="67" spans="1:10" x14ac:dyDescent="0.2">
      <c r="A67" s="10">
        <v>7</v>
      </c>
      <c r="B67" s="23">
        <f t="shared" si="12"/>
        <v>46122</v>
      </c>
      <c r="C67" s="12">
        <f t="shared" si="13"/>
        <v>-113.51185047979983</v>
      </c>
      <c r="D67" s="12">
        <f t="shared" si="14"/>
        <v>-113.51185047979983</v>
      </c>
      <c r="E67" s="12">
        <f t="shared" si="15"/>
        <v>-137.6785171464665</v>
      </c>
      <c r="F67" s="12">
        <f t="shared" si="16"/>
        <v>-140.94388101241813</v>
      </c>
      <c r="G67" s="12">
        <f t="shared" si="17"/>
        <v>-114.89764581588672</v>
      </c>
      <c r="H67" s="12">
        <f t="shared" si="18"/>
        <v>-114.89764581588672</v>
      </c>
      <c r="I67" s="12">
        <f t="shared" si="19"/>
        <v>-139.06431248255339</v>
      </c>
      <c r="J67" s="12">
        <f t="shared" si="20"/>
        <v>-142.66457688805934</v>
      </c>
    </row>
    <row r="68" spans="1:10" x14ac:dyDescent="0.2">
      <c r="A68" s="10">
        <v>8</v>
      </c>
      <c r="B68" s="23">
        <f t="shared" si="12"/>
        <v>46152</v>
      </c>
      <c r="C68" s="12">
        <f t="shared" si="13"/>
        <v>-110.89272603328806</v>
      </c>
      <c r="D68" s="12">
        <f t="shared" si="14"/>
        <v>-110.89272603328806</v>
      </c>
      <c r="E68" s="12">
        <f t="shared" si="15"/>
        <v>-135.05939269995471</v>
      </c>
      <c r="F68" s="12">
        <f t="shared" si="16"/>
        <v>-137.69180149133268</v>
      </c>
      <c r="G68" s="12">
        <f t="shared" si="17"/>
        <v>-114.89764581588672</v>
      </c>
      <c r="H68" s="12">
        <f t="shared" si="18"/>
        <v>-114.89764581588672</v>
      </c>
      <c r="I68" s="12">
        <f t="shared" si="19"/>
        <v>-139.06431248255339</v>
      </c>
      <c r="J68" s="12">
        <f t="shared" si="20"/>
        <v>-142.66457688805934</v>
      </c>
    </row>
    <row r="69" spans="1:10" x14ac:dyDescent="0.2">
      <c r="A69" s="10">
        <v>9</v>
      </c>
      <c r="B69" s="23">
        <f t="shared" si="12"/>
        <v>46183</v>
      </c>
      <c r="C69" s="12">
        <f t="shared" si="13"/>
        <v>-109.00790031986656</v>
      </c>
      <c r="D69" s="12">
        <f t="shared" si="14"/>
        <v>-109.00790031986656</v>
      </c>
      <c r="E69" s="12">
        <f t="shared" si="15"/>
        <v>-133.17456698653322</v>
      </c>
      <c r="F69" s="12">
        <f t="shared" si="16"/>
        <v>-135.35147623050099</v>
      </c>
      <c r="G69" s="12">
        <f t="shared" si="17"/>
        <v>-114.89764581588672</v>
      </c>
      <c r="H69" s="12">
        <f t="shared" si="18"/>
        <v>-114.89764581588672</v>
      </c>
      <c r="I69" s="12">
        <f t="shared" si="19"/>
        <v>-139.06431248255339</v>
      </c>
      <c r="J69" s="12">
        <f t="shared" si="20"/>
        <v>-142.66457688805934</v>
      </c>
    </row>
    <row r="70" spans="1:10" x14ac:dyDescent="0.2">
      <c r="A70" s="10">
        <v>10</v>
      </c>
      <c r="B70" s="23">
        <f t="shared" si="12"/>
        <v>46213</v>
      </c>
      <c r="C70" s="12">
        <f t="shared" si="13"/>
        <v>-106.53563561997284</v>
      </c>
      <c r="D70" s="12">
        <f t="shared" si="14"/>
        <v>-106.53563561997284</v>
      </c>
      <c r="E70" s="12">
        <f t="shared" si="15"/>
        <v>-130.70230228663951</v>
      </c>
      <c r="F70" s="12">
        <f t="shared" si="16"/>
        <v>-132.28174756146626</v>
      </c>
      <c r="G70" s="12">
        <f t="shared" si="17"/>
        <v>-114.89764581588672</v>
      </c>
      <c r="H70" s="12">
        <f t="shared" si="18"/>
        <v>-114.89764581588672</v>
      </c>
      <c r="I70" s="12">
        <f t="shared" si="19"/>
        <v>-139.06431248255339</v>
      </c>
      <c r="J70" s="12">
        <f t="shared" si="20"/>
        <v>-142.66457688805934</v>
      </c>
    </row>
    <row r="71" spans="1:10" x14ac:dyDescent="0.2">
      <c r="A71" s="10">
        <v>11</v>
      </c>
      <c r="B71" s="23">
        <f t="shared" si="12"/>
        <v>46244</v>
      </c>
      <c r="C71" s="12">
        <f t="shared" si="13"/>
        <v>-104.50395015993328</v>
      </c>
      <c r="D71" s="12">
        <f t="shared" si="14"/>
        <v>-104.50395015993328</v>
      </c>
      <c r="E71" s="12">
        <f t="shared" si="15"/>
        <v>-128.67061682659994</v>
      </c>
      <c r="F71" s="12">
        <f t="shared" si="16"/>
        <v>-129.75907144858382</v>
      </c>
      <c r="G71" s="12">
        <f t="shared" si="17"/>
        <v>-114.89764581588672</v>
      </c>
      <c r="H71" s="12">
        <f t="shared" si="18"/>
        <v>-114.89764581588672</v>
      </c>
      <c r="I71" s="12">
        <f t="shared" si="19"/>
        <v>-139.06431248255339</v>
      </c>
      <c r="J71" s="12">
        <f t="shared" si="20"/>
        <v>-142.66457688805934</v>
      </c>
    </row>
    <row r="72" spans="1:10" x14ac:dyDescent="0.2">
      <c r="A72" s="10">
        <v>12</v>
      </c>
      <c r="B72" s="23">
        <f t="shared" si="12"/>
        <v>46275</v>
      </c>
      <c r="C72" s="12">
        <f t="shared" si="13"/>
        <v>-102.25197507996664</v>
      </c>
      <c r="D72" s="12">
        <f t="shared" si="14"/>
        <v>-392.25197507996666</v>
      </c>
      <c r="E72" s="12">
        <f t="shared" si="15"/>
        <v>-126.41864174663331</v>
      </c>
      <c r="F72" s="12">
        <f t="shared" si="16"/>
        <v>-126.96286905762524</v>
      </c>
      <c r="G72" s="12">
        <f t="shared" si="17"/>
        <v>-114.89764581588672</v>
      </c>
      <c r="H72" s="12">
        <f t="shared" si="18"/>
        <v>-404.89764581588673</v>
      </c>
      <c r="I72" s="12">
        <f t="shared" si="19"/>
        <v>-139.06431248255339</v>
      </c>
      <c r="J72" s="12">
        <f t="shared" si="20"/>
        <v>-142.66457688805934</v>
      </c>
    </row>
    <row r="73" spans="1:10" x14ac:dyDescent="0.2">
      <c r="A73" s="20" t="s">
        <v>115</v>
      </c>
      <c r="B73" s="14"/>
      <c r="C73" s="21">
        <f t="shared" ref="C73:J73" si="21">SUM(C60:C72)</f>
        <v>-461.91023980456293</v>
      </c>
      <c r="D73" s="21">
        <f t="shared" si="21"/>
        <v>-461.91023980456299</v>
      </c>
      <c r="E73" s="21">
        <f t="shared" si="21"/>
        <v>-461.91023980456293</v>
      </c>
      <c r="F73" s="21">
        <f t="shared" si="21"/>
        <v>-503.45521442399905</v>
      </c>
      <c r="G73" s="21">
        <f t="shared" si="21"/>
        <v>-468.77174979064057</v>
      </c>
      <c r="H73" s="21">
        <f t="shared" si="21"/>
        <v>-468.77174979064057</v>
      </c>
      <c r="I73" s="21">
        <f t="shared" si="21"/>
        <v>-468.7717497906408</v>
      </c>
      <c r="J73" s="21">
        <f t="shared" si="21"/>
        <v>-511.97492265671235</v>
      </c>
    </row>
    <row r="75" spans="1:10" x14ac:dyDescent="0.2">
      <c r="A75" s="6" t="s">
        <v>147</v>
      </c>
    </row>
    <row r="76" spans="1:10" ht="42" customHeight="1" x14ac:dyDescent="0.2">
      <c r="A76" s="13" t="s">
        <v>100</v>
      </c>
      <c r="B76" s="13" t="s">
        <v>140</v>
      </c>
      <c r="C76" s="13" t="s">
        <v>107</v>
      </c>
      <c r="D76" s="13" t="s">
        <v>108</v>
      </c>
      <c r="E76" s="13" t="s">
        <v>109</v>
      </c>
      <c r="F76" s="13" t="s">
        <v>110</v>
      </c>
      <c r="G76" s="13" t="s">
        <v>111</v>
      </c>
      <c r="H76" s="13" t="s">
        <v>112</v>
      </c>
      <c r="I76" s="13" t="s">
        <v>113</v>
      </c>
      <c r="J76" s="13" t="s">
        <v>114</v>
      </c>
    </row>
    <row r="77" spans="1:10" x14ac:dyDescent="0.2">
      <c r="A77" s="10">
        <v>0</v>
      </c>
      <c r="B77" s="10">
        <f t="shared" ref="B77:B89" si="22">C44</f>
        <v>0</v>
      </c>
      <c r="C77" s="12">
        <f t="shared" ref="C77:C89" si="23">C60*(1+$D$22)^(-$B77/365)</f>
        <v>910</v>
      </c>
      <c r="D77" s="12">
        <f t="shared" ref="D77:D89" si="24">D60*(1+$D$23)^(-$B77/365)</f>
        <v>1200</v>
      </c>
      <c r="E77" s="12">
        <f t="shared" ref="E77:E89" si="25">E60*(1+$D$24)^(-$B77/365)</f>
        <v>1200</v>
      </c>
      <c r="F77" s="12">
        <f t="shared" ref="F77:F89" si="26">F60*(1+$D$25)^(-$B77/365)</f>
        <v>1200</v>
      </c>
      <c r="G77" s="12">
        <f t="shared" ref="G77:G89" si="27">G60*(1+$D$26)^(-$B77/365)</f>
        <v>910</v>
      </c>
      <c r="H77" s="12">
        <f t="shared" ref="H77:H89" si="28">H60*(1+$D$27)^(-$B77/365)</f>
        <v>1200</v>
      </c>
      <c r="I77" s="12">
        <f t="shared" ref="I77:I89" si="29">I60*(1+$D$28)^(-$B77/365)</f>
        <v>1200</v>
      </c>
      <c r="J77" s="12">
        <f t="shared" ref="J77:J89" si="30">J60*(1+$D$29)^(-$B77/365)</f>
        <v>1200</v>
      </c>
    </row>
    <row r="78" spans="1:10" x14ac:dyDescent="0.2">
      <c r="A78" s="10">
        <v>1</v>
      </c>
      <c r="B78" s="10">
        <f t="shared" si="22"/>
        <v>30</v>
      </c>
      <c r="C78" s="12">
        <f t="shared" si="23"/>
        <v>-117.70208674570041</v>
      </c>
      <c r="D78" s="12">
        <f t="shared" si="24"/>
        <v>-120.41726996408312</v>
      </c>
      <c r="E78" s="12">
        <f t="shared" si="25"/>
        <v>-142.44407121735057</v>
      </c>
      <c r="F78" s="12">
        <f t="shared" si="26"/>
        <v>-147.7308143949553</v>
      </c>
      <c r="G78" s="12">
        <f t="shared" si="27"/>
        <v>-107.41093525727672</v>
      </c>
      <c r="H78" s="12">
        <f t="shared" si="28"/>
        <v>-109.76114376458388</v>
      </c>
      <c r="I78" s="12">
        <f t="shared" si="29"/>
        <v>-131.9223946462389</v>
      </c>
      <c r="J78" s="12">
        <f t="shared" si="30"/>
        <v>-134.75380346306068</v>
      </c>
    </row>
    <row r="79" spans="1:10" x14ac:dyDescent="0.2">
      <c r="A79" s="10">
        <v>2</v>
      </c>
      <c r="B79" s="10">
        <f t="shared" si="22"/>
        <v>61</v>
      </c>
      <c r="C79" s="12">
        <f t="shared" si="23"/>
        <v>-108.38240068695835</v>
      </c>
      <c r="D79" s="12">
        <f t="shared" si="24"/>
        <v>-113.52673530163335</v>
      </c>
      <c r="E79" s="12">
        <f t="shared" si="25"/>
        <v>-133.51996137119951</v>
      </c>
      <c r="F79" s="12">
        <f t="shared" si="26"/>
        <v>-137.55730751040366</v>
      </c>
      <c r="G79" s="12">
        <f t="shared" si="27"/>
        <v>-100.18678604667693</v>
      </c>
      <c r="H79" s="12">
        <f t="shared" si="28"/>
        <v>-104.69454022525446</v>
      </c>
      <c r="I79" s="12">
        <f t="shared" si="29"/>
        <v>-124.92752039846495</v>
      </c>
      <c r="J79" s="12">
        <f t="shared" si="30"/>
        <v>-127.03987979738632</v>
      </c>
    </row>
    <row r="80" spans="1:10" x14ac:dyDescent="0.2">
      <c r="A80" s="10">
        <v>3</v>
      </c>
      <c r="B80" s="10">
        <f t="shared" si="22"/>
        <v>91</v>
      </c>
      <c r="C80" s="12">
        <f t="shared" si="23"/>
        <v>-98.709869771383154</v>
      </c>
      <c r="D80" s="12">
        <f t="shared" si="24"/>
        <v>-105.78024676474543</v>
      </c>
      <c r="E80" s="12">
        <f t="shared" si="25"/>
        <v>-123.99630041725294</v>
      </c>
      <c r="F80" s="12">
        <f t="shared" si="26"/>
        <v>-126.63897480206867</v>
      </c>
      <c r="G80" s="12">
        <f t="shared" si="27"/>
        <v>-93.658632544465277</v>
      </c>
      <c r="H80" s="12">
        <f t="shared" si="28"/>
        <v>-100.01416825759074</v>
      </c>
      <c r="I80" s="12">
        <f t="shared" si="29"/>
        <v>-118.51162497387658</v>
      </c>
      <c r="J80" s="12">
        <f t="shared" si="30"/>
        <v>-119.99549830523262</v>
      </c>
    </row>
    <row r="81" spans="1:12" x14ac:dyDescent="0.2">
      <c r="A81" s="10">
        <v>4</v>
      </c>
      <c r="B81" s="10">
        <f t="shared" si="22"/>
        <v>122</v>
      </c>
      <c r="C81" s="12">
        <f t="shared" si="23"/>
        <v>-90.747453535649129</v>
      </c>
      <c r="D81" s="12">
        <f t="shared" si="24"/>
        <v>-99.566493411933521</v>
      </c>
      <c r="E81" s="12">
        <f t="shared" si="25"/>
        <v>-116.07797964644409</v>
      </c>
      <c r="F81" s="12">
        <f t="shared" si="26"/>
        <v>-117.72785327780713</v>
      </c>
      <c r="G81" s="12">
        <f t="shared" si="27"/>
        <v>-87.359423485896713</v>
      </c>
      <c r="H81" s="12">
        <f t="shared" si="28"/>
        <v>-95.397487695625756</v>
      </c>
      <c r="I81" s="12">
        <f t="shared" si="29"/>
        <v>-112.22782520042207</v>
      </c>
      <c r="J81" s="12">
        <f t="shared" si="30"/>
        <v>-113.12640748654664</v>
      </c>
    </row>
    <row r="82" spans="1:12" x14ac:dyDescent="0.2">
      <c r="A82" s="10">
        <v>5</v>
      </c>
      <c r="B82" s="10">
        <f t="shared" si="22"/>
        <v>153</v>
      </c>
      <c r="C82" s="12">
        <f t="shared" si="23"/>
        <v>-82.89824318789546</v>
      </c>
      <c r="D82" s="12">
        <f t="shared" si="24"/>
        <v>-93.123407744168944</v>
      </c>
      <c r="E82" s="12">
        <f t="shared" si="25"/>
        <v>-108.09506460230945</v>
      </c>
      <c r="F82" s="12">
        <f t="shared" si="26"/>
        <v>-108.74970193461924</v>
      </c>
      <c r="G82" s="12">
        <f t="shared" si="27"/>
        <v>-81.483881031094924</v>
      </c>
      <c r="H82" s="12">
        <f t="shared" si="28"/>
        <v>-90.993914334195921</v>
      </c>
      <c r="I82" s="12">
        <f t="shared" si="29"/>
        <v>-106.27720910917235</v>
      </c>
      <c r="J82" s="12">
        <f t="shared" si="30"/>
        <v>-106.650534824723</v>
      </c>
    </row>
    <row r="83" spans="1:12" x14ac:dyDescent="0.2">
      <c r="A83" s="10">
        <v>6</v>
      </c>
      <c r="B83" s="10">
        <f t="shared" si="22"/>
        <v>181</v>
      </c>
      <c r="C83" s="12">
        <f t="shared" si="23"/>
        <v>-75.211823090664296</v>
      </c>
      <c r="D83" s="12">
        <f t="shared" si="24"/>
        <v>-86.306589589521323</v>
      </c>
      <c r="E83" s="12">
        <f t="shared" si="25"/>
        <v>-100.06404482609504</v>
      </c>
      <c r="F83" s="12">
        <f t="shared" si="26"/>
        <v>-99.664075875627304</v>
      </c>
      <c r="G83" s="12">
        <f t="shared" si="27"/>
        <v>-76.517349138363159</v>
      </c>
      <c r="H83" s="12">
        <f t="shared" si="28"/>
        <v>-87.191471749879852</v>
      </c>
      <c r="I83" s="12">
        <f t="shared" si="29"/>
        <v>-101.17412377922378</v>
      </c>
      <c r="J83" s="12">
        <f t="shared" si="30"/>
        <v>-101.12058927501401</v>
      </c>
    </row>
    <row r="84" spans="1:12" x14ac:dyDescent="0.2">
      <c r="A84" s="10">
        <v>7</v>
      </c>
      <c r="B84" s="10">
        <f t="shared" si="22"/>
        <v>212</v>
      </c>
      <c r="C84" s="12">
        <f t="shared" si="23"/>
        <v>-69.58155317980578</v>
      </c>
      <c r="D84" s="12">
        <f t="shared" si="24"/>
        <v>-81.749805264971286</v>
      </c>
      <c r="E84" s="12">
        <f t="shared" si="25"/>
        <v>-94.171961291603964</v>
      </c>
      <c r="F84" s="12">
        <f t="shared" si="26"/>
        <v>-93.236211349699971</v>
      </c>
      <c r="G84" s="12">
        <f t="shared" si="27"/>
        <v>-71.37101328297689</v>
      </c>
      <c r="H84" s="12">
        <f t="shared" si="28"/>
        <v>-83.166690263320447</v>
      </c>
      <c r="I84" s="12">
        <f t="shared" si="29"/>
        <v>-95.809604170084313</v>
      </c>
      <c r="J84" s="12">
        <f t="shared" si="30"/>
        <v>-95.331984525840511</v>
      </c>
    </row>
    <row r="85" spans="1:12" x14ac:dyDescent="0.2">
      <c r="A85" s="10">
        <v>8</v>
      </c>
      <c r="B85" s="10">
        <f t="shared" si="22"/>
        <v>242</v>
      </c>
      <c r="C85" s="12">
        <f t="shared" si="23"/>
        <v>-63.427640661265251</v>
      </c>
      <c r="D85" s="12">
        <f t="shared" si="24"/>
        <v>-76.238752192171376</v>
      </c>
      <c r="E85" s="12">
        <f t="shared" si="25"/>
        <v>-87.546545967230443</v>
      </c>
      <c r="F85" s="12">
        <f t="shared" si="26"/>
        <v>-85.911432999957896</v>
      </c>
      <c r="G85" s="12">
        <f t="shared" si="27"/>
        <v>-66.720490507422554</v>
      </c>
      <c r="H85" s="12">
        <f t="shared" si="28"/>
        <v>-79.448721351910876</v>
      </c>
      <c r="I85" s="12">
        <f t="shared" si="29"/>
        <v>-90.889115881628527</v>
      </c>
      <c r="J85" s="12">
        <f t="shared" si="30"/>
        <v>-90.045810857578473</v>
      </c>
    </row>
    <row r="86" spans="1:12" x14ac:dyDescent="0.2">
      <c r="A86" s="10">
        <v>9</v>
      </c>
      <c r="B86" s="10">
        <f t="shared" si="22"/>
        <v>273</v>
      </c>
      <c r="C86" s="12">
        <f t="shared" si="23"/>
        <v>-58.043484130474837</v>
      </c>
      <c r="D86" s="12">
        <f t="shared" si="24"/>
        <v>-71.430791793775029</v>
      </c>
      <c r="E86" s="12">
        <f t="shared" si="25"/>
        <v>-81.661295364601841</v>
      </c>
      <c r="F86" s="12">
        <f t="shared" si="26"/>
        <v>-79.499399870651416</v>
      </c>
      <c r="G86" s="12">
        <f t="shared" si="27"/>
        <v>-62.233063061832219</v>
      </c>
      <c r="H86" s="12">
        <f t="shared" si="28"/>
        <v>-75.781347279532866</v>
      </c>
      <c r="I86" s="12">
        <f t="shared" si="29"/>
        <v>-86.069934591081292</v>
      </c>
      <c r="J86" s="12">
        <f t="shared" si="30"/>
        <v>-84.89117704748702</v>
      </c>
    </row>
    <row r="87" spans="1:12" x14ac:dyDescent="0.2">
      <c r="A87" s="10">
        <v>10</v>
      </c>
      <c r="B87" s="10">
        <f t="shared" si="22"/>
        <v>303</v>
      </c>
      <c r="C87" s="12">
        <f t="shared" si="23"/>
        <v>-52.931351474725759</v>
      </c>
      <c r="D87" s="12">
        <f t="shared" si="24"/>
        <v>-66.642240225071163</v>
      </c>
      <c r="E87" s="12">
        <f t="shared" si="25"/>
        <v>-75.95161221882654</v>
      </c>
      <c r="F87" s="12">
        <f t="shared" si="26"/>
        <v>-73.283341984298929</v>
      </c>
      <c r="G87" s="12">
        <f t="shared" si="27"/>
        <v>-58.177967528663011</v>
      </c>
      <c r="H87" s="12">
        <f t="shared" si="28"/>
        <v>-72.39354030587603</v>
      </c>
      <c r="I87" s="12">
        <f t="shared" si="29"/>
        <v>-81.649645948705228</v>
      </c>
      <c r="J87" s="12">
        <f t="shared" si="30"/>
        <v>-80.183947810540232</v>
      </c>
    </row>
    <row r="88" spans="1:12" x14ac:dyDescent="0.2">
      <c r="A88" s="10">
        <v>11</v>
      </c>
      <c r="B88" s="10">
        <f t="shared" si="22"/>
        <v>334</v>
      </c>
      <c r="C88" s="12">
        <f t="shared" si="23"/>
        <v>-48.336009124377497</v>
      </c>
      <c r="D88" s="12">
        <f t="shared" si="24"/>
        <v>-62.307763534124966</v>
      </c>
      <c r="E88" s="12">
        <f t="shared" si="25"/>
        <v>-70.731666402790736</v>
      </c>
      <c r="F88" s="12">
        <f t="shared" si="26"/>
        <v>-67.670758479718444</v>
      </c>
      <c r="G88" s="12">
        <f t="shared" si="27"/>
        <v>-54.265085500498941</v>
      </c>
      <c r="H88" s="12">
        <f t="shared" si="28"/>
        <v>-69.051835263834647</v>
      </c>
      <c r="I88" s="12">
        <f t="shared" si="29"/>
        <v>-77.320365788820411</v>
      </c>
      <c r="J88" s="12">
        <f t="shared" si="30"/>
        <v>-75.593852119530808</v>
      </c>
    </row>
    <row r="89" spans="1:12" x14ac:dyDescent="0.2">
      <c r="A89" s="10">
        <v>12</v>
      </c>
      <c r="B89" s="10">
        <f t="shared" si="22"/>
        <v>365</v>
      </c>
      <c r="C89" s="12">
        <f t="shared" si="23"/>
        <v>-44.02808441109989</v>
      </c>
      <c r="D89" s="12">
        <f t="shared" si="24"/>
        <v>-222.90990421380039</v>
      </c>
      <c r="E89" s="12">
        <f t="shared" si="25"/>
        <v>-65.739496674295012</v>
      </c>
      <c r="F89" s="12">
        <f t="shared" si="26"/>
        <v>-62.330127520192029</v>
      </c>
      <c r="G89" s="12">
        <f t="shared" si="27"/>
        <v>-50.615372613793554</v>
      </c>
      <c r="H89" s="12">
        <f t="shared" si="28"/>
        <v>-232.10513950839444</v>
      </c>
      <c r="I89" s="12">
        <f t="shared" si="29"/>
        <v>-73.220635512281632</v>
      </c>
      <c r="J89" s="12">
        <f t="shared" si="30"/>
        <v>-71.266514487059581</v>
      </c>
    </row>
    <row r="90" spans="1:12" x14ac:dyDescent="0.2">
      <c r="A90" s="20" t="s">
        <v>119</v>
      </c>
      <c r="B90" s="14"/>
      <c r="C90" s="21">
        <f t="shared" ref="C90:J90" si="31">SUM(C77:C89)</f>
        <v>1.3500311979441904E-13</v>
      </c>
      <c r="D90" s="21">
        <f t="shared" si="31"/>
        <v>0</v>
      </c>
      <c r="E90" s="21">
        <f t="shared" si="31"/>
        <v>0</v>
      </c>
      <c r="F90" s="21">
        <f t="shared" si="31"/>
        <v>-1.3500311979441904E-13</v>
      </c>
      <c r="G90" s="21">
        <f t="shared" si="31"/>
        <v>1.0390834859208553E-9</v>
      </c>
      <c r="H90" s="21">
        <f t="shared" si="31"/>
        <v>0</v>
      </c>
      <c r="I90" s="21">
        <f t="shared" si="31"/>
        <v>0</v>
      </c>
      <c r="J90" s="21">
        <f t="shared" si="31"/>
        <v>0</v>
      </c>
    </row>
    <row r="94" spans="1:12" x14ac:dyDescent="0.2">
      <c r="A94" s="6" t="s">
        <v>148</v>
      </c>
    </row>
    <row r="95" spans="1:12" ht="56" customHeight="1" x14ac:dyDescent="0.2">
      <c r="A95" s="13" t="s">
        <v>100</v>
      </c>
      <c r="B95" s="13" t="s">
        <v>139</v>
      </c>
      <c r="C95" s="13" t="s">
        <v>140</v>
      </c>
      <c r="D95" s="13" t="s">
        <v>141</v>
      </c>
      <c r="E95" s="13" t="s">
        <v>142</v>
      </c>
      <c r="F95" s="13" t="s">
        <v>143</v>
      </c>
      <c r="G95" s="13" t="s">
        <v>101</v>
      </c>
      <c r="H95" s="13" t="s">
        <v>102</v>
      </c>
      <c r="I95" s="13" t="s">
        <v>103</v>
      </c>
      <c r="J95" s="13" t="s">
        <v>104</v>
      </c>
      <c r="K95" s="13" t="s">
        <v>105</v>
      </c>
      <c r="L95" s="13" t="s">
        <v>106</v>
      </c>
    </row>
    <row r="96" spans="1:12" x14ac:dyDescent="0.2">
      <c r="A96" s="10">
        <v>0</v>
      </c>
      <c r="B96" s="23">
        <f>$B$13</f>
        <v>46640</v>
      </c>
      <c r="C96" s="10">
        <f t="shared" ref="C96:C108" si="32">B96-$B$13</f>
        <v>0</v>
      </c>
      <c r="D96" s="14"/>
      <c r="E96" s="14"/>
      <c r="F96" s="14"/>
      <c r="G96" s="14"/>
      <c r="H96" s="14"/>
      <c r="I96" s="14"/>
      <c r="J96" s="14"/>
      <c r="K96" s="14"/>
      <c r="L96" s="14"/>
    </row>
    <row r="97" spans="1:12" x14ac:dyDescent="0.2">
      <c r="A97" s="10">
        <v>1</v>
      </c>
      <c r="B97" s="23">
        <f t="shared" ref="B97:B108" si="33">EDATE($B$13,A97)</f>
        <v>46670</v>
      </c>
      <c r="C97" s="10">
        <f t="shared" si="32"/>
        <v>30</v>
      </c>
      <c r="D97" s="10">
        <f t="shared" ref="D97:D108" si="34">C97-C96</f>
        <v>30</v>
      </c>
      <c r="E97" s="11">
        <f t="shared" ref="E97:E108" si="35">(1+$B$5)^(D97/365)-1</f>
        <v>2.1785452066576116E-2</v>
      </c>
      <c r="F97" s="19">
        <f t="shared" ref="F97:F108" si="36">(1+$B$5)^(-C97/365)</f>
        <v>0.97867903479882712</v>
      </c>
      <c r="G97" s="12">
        <f t="shared" ref="G97:G108" si="37">$B$7-$B$17*(A97-1)</f>
        <v>1200</v>
      </c>
      <c r="H97" s="12">
        <f t="shared" ref="H97:H108" si="38">$B$17+G97*E97</f>
        <v>126.14254247989135</v>
      </c>
      <c r="I97" s="12">
        <f t="shared" ref="I97:I108" si="39">$B$7/SUM($F$97:$F$108)</f>
        <v>114.94316590832713</v>
      </c>
      <c r="J97" s="12">
        <f t="shared" ref="J97:J108" si="40">$B$16-$B$18*(A97-1)</f>
        <v>1490</v>
      </c>
      <c r="K97" s="12">
        <f t="shared" ref="K97:K108" si="41">$B$18+J97*E97</f>
        <v>156.6269902458651</v>
      </c>
      <c r="L97" s="12">
        <f t="shared" ref="L97:L108" si="42">$B$16/SUM($F$97:$F$108)</f>
        <v>142.72109766950618</v>
      </c>
    </row>
    <row r="98" spans="1:12" x14ac:dyDescent="0.2">
      <c r="A98" s="10">
        <v>2</v>
      </c>
      <c r="B98" s="23">
        <f t="shared" si="33"/>
        <v>46701</v>
      </c>
      <c r="C98" s="10">
        <f t="shared" si="32"/>
        <v>61</v>
      </c>
      <c r="D98" s="10">
        <f t="shared" si="34"/>
        <v>31</v>
      </c>
      <c r="E98" s="11">
        <f t="shared" si="35"/>
        <v>2.2519750799666394E-2</v>
      </c>
      <c r="F98" s="19">
        <f t="shared" si="36"/>
        <v>0.95712482231609375</v>
      </c>
      <c r="G98" s="12">
        <f t="shared" si="37"/>
        <v>1100</v>
      </c>
      <c r="H98" s="12">
        <f t="shared" si="38"/>
        <v>124.77172587963304</v>
      </c>
      <c r="I98" s="12">
        <f t="shared" si="39"/>
        <v>114.94316590832713</v>
      </c>
      <c r="J98" s="12">
        <f t="shared" si="40"/>
        <v>1365.8333333333333</v>
      </c>
      <c r="K98" s="12">
        <f t="shared" si="41"/>
        <v>154.92489296721101</v>
      </c>
      <c r="L98" s="12">
        <f t="shared" si="42"/>
        <v>142.72109766950618</v>
      </c>
    </row>
    <row r="99" spans="1:12" x14ac:dyDescent="0.2">
      <c r="A99" s="10">
        <v>3</v>
      </c>
      <c r="B99" s="23">
        <f t="shared" si="33"/>
        <v>46731</v>
      </c>
      <c r="C99" s="10">
        <f t="shared" si="32"/>
        <v>91</v>
      </c>
      <c r="D99" s="10">
        <f t="shared" si="34"/>
        <v>30</v>
      </c>
      <c r="E99" s="11">
        <f t="shared" si="35"/>
        <v>2.1785452066576116E-2</v>
      </c>
      <c r="F99" s="19">
        <f t="shared" si="36"/>
        <v>0.93671799728631344</v>
      </c>
      <c r="G99" s="12">
        <f t="shared" si="37"/>
        <v>1000</v>
      </c>
      <c r="H99" s="12">
        <f t="shared" si="38"/>
        <v>121.78545206657611</v>
      </c>
      <c r="I99" s="12">
        <f t="shared" si="39"/>
        <v>114.94316590832713</v>
      </c>
      <c r="J99" s="12">
        <f t="shared" si="40"/>
        <v>1241.6666666666667</v>
      </c>
      <c r="K99" s="12">
        <f t="shared" si="41"/>
        <v>151.21693631599868</v>
      </c>
      <c r="L99" s="12">
        <f t="shared" si="42"/>
        <v>142.72109766950618</v>
      </c>
    </row>
    <row r="100" spans="1:12" x14ac:dyDescent="0.2">
      <c r="A100" s="10">
        <v>4</v>
      </c>
      <c r="B100" s="23">
        <f t="shared" si="33"/>
        <v>46762</v>
      </c>
      <c r="C100" s="10">
        <f t="shared" si="32"/>
        <v>122</v>
      </c>
      <c r="D100" s="10">
        <f t="shared" si="34"/>
        <v>31</v>
      </c>
      <c r="E100" s="11">
        <f t="shared" si="35"/>
        <v>2.2519750799666394E-2</v>
      </c>
      <c r="F100" s="19">
        <f t="shared" si="36"/>
        <v>0.91608792549361395</v>
      </c>
      <c r="G100" s="12">
        <f t="shared" si="37"/>
        <v>900</v>
      </c>
      <c r="H100" s="12">
        <f t="shared" si="38"/>
        <v>120.26777571969976</v>
      </c>
      <c r="I100" s="12">
        <f t="shared" si="39"/>
        <v>114.94316590832713</v>
      </c>
      <c r="J100" s="12">
        <f t="shared" si="40"/>
        <v>1117.5</v>
      </c>
      <c r="K100" s="12">
        <f t="shared" si="41"/>
        <v>149.33248818529387</v>
      </c>
      <c r="L100" s="12">
        <f t="shared" si="42"/>
        <v>142.72109766950618</v>
      </c>
    </row>
    <row r="101" spans="1:12" x14ac:dyDescent="0.2">
      <c r="A101" s="10">
        <v>5</v>
      </c>
      <c r="B101" s="23">
        <f t="shared" si="33"/>
        <v>46793</v>
      </c>
      <c r="C101" s="10">
        <f t="shared" si="32"/>
        <v>153</v>
      </c>
      <c r="D101" s="10">
        <f t="shared" si="34"/>
        <v>31</v>
      </c>
      <c r="E101" s="11">
        <f t="shared" si="35"/>
        <v>2.2519750799666394E-2</v>
      </c>
      <c r="F101" s="19">
        <f t="shared" si="36"/>
        <v>0.89591220587884302</v>
      </c>
      <c r="G101" s="12">
        <f t="shared" si="37"/>
        <v>800</v>
      </c>
      <c r="H101" s="12">
        <f t="shared" si="38"/>
        <v>118.01580063973311</v>
      </c>
      <c r="I101" s="12">
        <f t="shared" si="39"/>
        <v>114.94316590832713</v>
      </c>
      <c r="J101" s="12">
        <f t="shared" si="40"/>
        <v>993.33333333333326</v>
      </c>
      <c r="K101" s="12">
        <f t="shared" si="41"/>
        <v>146.5362857943353</v>
      </c>
      <c r="L101" s="12">
        <f t="shared" si="42"/>
        <v>142.72109766950618</v>
      </c>
    </row>
    <row r="102" spans="1:12" x14ac:dyDescent="0.2">
      <c r="A102" s="10">
        <v>6</v>
      </c>
      <c r="B102" s="23">
        <f t="shared" si="33"/>
        <v>46822</v>
      </c>
      <c r="C102" s="10">
        <f t="shared" si="32"/>
        <v>182</v>
      </c>
      <c r="D102" s="10">
        <f t="shared" si="34"/>
        <v>29</v>
      </c>
      <c r="E102" s="11">
        <f t="shared" si="35"/>
        <v>2.1051680653011218E-2</v>
      </c>
      <c r="F102" s="19">
        <f t="shared" si="36"/>
        <v>0.87744060644008204</v>
      </c>
      <c r="G102" s="12">
        <f t="shared" si="37"/>
        <v>700</v>
      </c>
      <c r="H102" s="12">
        <f t="shared" si="38"/>
        <v>114.73617645710786</v>
      </c>
      <c r="I102" s="12">
        <f t="shared" si="39"/>
        <v>114.94316590832713</v>
      </c>
      <c r="J102" s="12">
        <f t="shared" si="40"/>
        <v>869.16666666666663</v>
      </c>
      <c r="K102" s="12">
        <f t="shared" si="41"/>
        <v>142.4640857675756</v>
      </c>
      <c r="L102" s="12">
        <f t="shared" si="42"/>
        <v>142.72109766950618</v>
      </c>
    </row>
    <row r="103" spans="1:12" x14ac:dyDescent="0.2">
      <c r="A103" s="10">
        <v>7</v>
      </c>
      <c r="B103" s="23">
        <f t="shared" si="33"/>
        <v>46853</v>
      </c>
      <c r="C103" s="10">
        <f t="shared" si="32"/>
        <v>213</v>
      </c>
      <c r="D103" s="10">
        <f t="shared" si="34"/>
        <v>31</v>
      </c>
      <c r="E103" s="11">
        <f t="shared" si="35"/>
        <v>2.2519750799666394E-2</v>
      </c>
      <c r="F103" s="19">
        <f t="shared" si="36"/>
        <v>0.85811604690655174</v>
      </c>
      <c r="G103" s="12">
        <f t="shared" si="37"/>
        <v>600</v>
      </c>
      <c r="H103" s="12">
        <f t="shared" si="38"/>
        <v>113.51185047979983</v>
      </c>
      <c r="I103" s="12">
        <f t="shared" si="39"/>
        <v>114.94316590832713</v>
      </c>
      <c r="J103" s="12">
        <f t="shared" si="40"/>
        <v>745</v>
      </c>
      <c r="K103" s="12">
        <f t="shared" si="41"/>
        <v>140.94388101241813</v>
      </c>
      <c r="L103" s="12">
        <f t="shared" si="42"/>
        <v>142.72109766950618</v>
      </c>
    </row>
    <row r="104" spans="1:12" x14ac:dyDescent="0.2">
      <c r="A104" s="10">
        <v>8</v>
      </c>
      <c r="B104" s="23">
        <f t="shared" si="33"/>
        <v>46883</v>
      </c>
      <c r="C104" s="10">
        <f t="shared" si="32"/>
        <v>243</v>
      </c>
      <c r="D104" s="10">
        <f t="shared" si="34"/>
        <v>30</v>
      </c>
      <c r="E104" s="11">
        <f t="shared" si="35"/>
        <v>2.1785452066576116E-2</v>
      </c>
      <c r="F104" s="19">
        <f t="shared" si="36"/>
        <v>0.839820184531889</v>
      </c>
      <c r="G104" s="12">
        <f t="shared" si="37"/>
        <v>500</v>
      </c>
      <c r="H104" s="12">
        <f t="shared" si="38"/>
        <v>110.89272603328806</v>
      </c>
      <c r="I104" s="12">
        <f t="shared" si="39"/>
        <v>114.94316590832713</v>
      </c>
      <c r="J104" s="12">
        <f t="shared" si="40"/>
        <v>620.83333333333326</v>
      </c>
      <c r="K104" s="12">
        <f t="shared" si="41"/>
        <v>137.69180149133268</v>
      </c>
      <c r="L104" s="12">
        <f t="shared" si="42"/>
        <v>142.72109766950618</v>
      </c>
    </row>
    <row r="105" spans="1:12" x14ac:dyDescent="0.2">
      <c r="A105" s="10">
        <v>9</v>
      </c>
      <c r="B105" s="23">
        <f t="shared" si="33"/>
        <v>46914</v>
      </c>
      <c r="C105" s="10">
        <f t="shared" si="32"/>
        <v>274</v>
      </c>
      <c r="D105" s="10">
        <f t="shared" si="34"/>
        <v>31</v>
      </c>
      <c r="E105" s="11">
        <f t="shared" si="35"/>
        <v>2.2519750799666394E-2</v>
      </c>
      <c r="F105" s="19">
        <f t="shared" si="36"/>
        <v>0.82132416892202198</v>
      </c>
      <c r="G105" s="12">
        <f t="shared" si="37"/>
        <v>400</v>
      </c>
      <c r="H105" s="12">
        <f t="shared" si="38"/>
        <v>109.00790031986656</v>
      </c>
      <c r="I105" s="12">
        <f t="shared" si="39"/>
        <v>114.94316590832713</v>
      </c>
      <c r="J105" s="12">
        <f t="shared" si="40"/>
        <v>496.66666666666663</v>
      </c>
      <c r="K105" s="12">
        <f t="shared" si="41"/>
        <v>135.35147623050099</v>
      </c>
      <c r="L105" s="12">
        <f t="shared" si="42"/>
        <v>142.72109766950618</v>
      </c>
    </row>
    <row r="106" spans="1:12" x14ac:dyDescent="0.2">
      <c r="A106" s="10">
        <v>10</v>
      </c>
      <c r="B106" s="23">
        <f t="shared" si="33"/>
        <v>46944</v>
      </c>
      <c r="C106" s="10">
        <f t="shared" si="32"/>
        <v>304</v>
      </c>
      <c r="D106" s="10">
        <f t="shared" si="34"/>
        <v>30</v>
      </c>
      <c r="E106" s="11">
        <f t="shared" si="35"/>
        <v>2.1785452066576116E-2</v>
      </c>
      <c r="F106" s="19">
        <f t="shared" si="36"/>
        <v>0.80381274489755339</v>
      </c>
      <c r="G106" s="12">
        <f t="shared" si="37"/>
        <v>300</v>
      </c>
      <c r="H106" s="12">
        <f t="shared" si="38"/>
        <v>106.53563561997284</v>
      </c>
      <c r="I106" s="12">
        <f t="shared" si="39"/>
        <v>114.94316590832713</v>
      </c>
      <c r="J106" s="12">
        <f t="shared" si="40"/>
        <v>372.5</v>
      </c>
      <c r="K106" s="12">
        <f t="shared" si="41"/>
        <v>132.28174756146626</v>
      </c>
      <c r="L106" s="12">
        <f t="shared" si="42"/>
        <v>142.72109766950618</v>
      </c>
    </row>
    <row r="107" spans="1:12" x14ac:dyDescent="0.2">
      <c r="A107" s="10">
        <v>11</v>
      </c>
      <c r="B107" s="23">
        <f t="shared" si="33"/>
        <v>46975</v>
      </c>
      <c r="C107" s="10">
        <f t="shared" si="32"/>
        <v>335</v>
      </c>
      <c r="D107" s="10">
        <f t="shared" si="34"/>
        <v>31</v>
      </c>
      <c r="E107" s="11">
        <f t="shared" si="35"/>
        <v>2.2519750799666394E-2</v>
      </c>
      <c r="F107" s="19">
        <f t="shared" si="36"/>
        <v>0.78610974924340371</v>
      </c>
      <c r="G107" s="12">
        <f t="shared" si="37"/>
        <v>200</v>
      </c>
      <c r="H107" s="12">
        <f t="shared" si="38"/>
        <v>104.50395015993328</v>
      </c>
      <c r="I107" s="12">
        <f t="shared" si="39"/>
        <v>114.94316590832713</v>
      </c>
      <c r="J107" s="12">
        <f t="shared" si="40"/>
        <v>248.33333333333326</v>
      </c>
      <c r="K107" s="12">
        <f t="shared" si="41"/>
        <v>129.75907144858382</v>
      </c>
      <c r="L107" s="12">
        <f t="shared" si="42"/>
        <v>142.72109766950618</v>
      </c>
    </row>
    <row r="108" spans="1:12" x14ac:dyDescent="0.2">
      <c r="A108" s="10">
        <v>12</v>
      </c>
      <c r="B108" s="23">
        <f t="shared" si="33"/>
        <v>47006</v>
      </c>
      <c r="C108" s="10">
        <f t="shared" si="32"/>
        <v>366</v>
      </c>
      <c r="D108" s="10">
        <f t="shared" si="34"/>
        <v>31</v>
      </c>
      <c r="E108" s="11">
        <f t="shared" si="35"/>
        <v>2.2519750799666394E-2</v>
      </c>
      <c r="F108" s="19">
        <f t="shared" si="36"/>
        <v>0.76879664048408147</v>
      </c>
      <c r="G108" s="12">
        <f t="shared" si="37"/>
        <v>100</v>
      </c>
      <c r="H108" s="12">
        <f t="shared" si="38"/>
        <v>102.25197507996664</v>
      </c>
      <c r="I108" s="12">
        <f t="shared" si="39"/>
        <v>114.94316590832713</v>
      </c>
      <c r="J108" s="12">
        <f t="shared" si="40"/>
        <v>124.16666666666652</v>
      </c>
      <c r="K108" s="12">
        <f t="shared" si="41"/>
        <v>126.96286905762524</v>
      </c>
      <c r="L108" s="12">
        <f t="shared" si="42"/>
        <v>142.72109766950618</v>
      </c>
    </row>
    <row r="109" spans="1:12" x14ac:dyDescent="0.2">
      <c r="A109" s="5" t="s">
        <v>144</v>
      </c>
    </row>
    <row r="110" spans="1:12" x14ac:dyDescent="0.2">
      <c r="A110" s="6" t="s">
        <v>149</v>
      </c>
    </row>
    <row r="111" spans="1:12" ht="42" customHeight="1" x14ac:dyDescent="0.2">
      <c r="A111" s="13" t="s">
        <v>100</v>
      </c>
      <c r="B111" s="13" t="s">
        <v>146</v>
      </c>
      <c r="C111" s="13" t="s">
        <v>107</v>
      </c>
      <c r="D111" s="13" t="s">
        <v>108</v>
      </c>
      <c r="E111" s="13" t="s">
        <v>109</v>
      </c>
      <c r="F111" s="13" t="s">
        <v>110</v>
      </c>
      <c r="G111" s="13" t="s">
        <v>111</v>
      </c>
      <c r="H111" s="13" t="s">
        <v>112</v>
      </c>
      <c r="I111" s="13" t="s">
        <v>113</v>
      </c>
      <c r="J111" s="13" t="s">
        <v>114</v>
      </c>
    </row>
    <row r="112" spans="1:12" x14ac:dyDescent="0.2">
      <c r="A112" s="10">
        <v>0</v>
      </c>
      <c r="B112" s="23">
        <f t="shared" ref="B112:B124" si="43">B96</f>
        <v>46640</v>
      </c>
      <c r="C112" s="12">
        <f>$B$7-$B$6</f>
        <v>910</v>
      </c>
      <c r="D112" s="12">
        <f>$B$7</f>
        <v>1200</v>
      </c>
      <c r="E112" s="12">
        <f>$B$7</f>
        <v>1200</v>
      </c>
      <c r="F112" s="12">
        <f>$B$7</f>
        <v>1200</v>
      </c>
      <c r="G112" s="12">
        <f>$B$7-$B$6</f>
        <v>910</v>
      </c>
      <c r="H112" s="12">
        <f>$B$7</f>
        <v>1200</v>
      </c>
      <c r="I112" s="12">
        <f>$B$7</f>
        <v>1200</v>
      </c>
      <c r="J112" s="12">
        <f>$B$7</f>
        <v>1200</v>
      </c>
    </row>
    <row r="113" spans="1:10" x14ac:dyDescent="0.2">
      <c r="A113" s="10">
        <v>1</v>
      </c>
      <c r="B113" s="23">
        <f t="shared" si="43"/>
        <v>46670</v>
      </c>
      <c r="C113" s="12">
        <f t="shared" ref="C113:C124" si="44">-H97</f>
        <v>-126.14254247989135</v>
      </c>
      <c r="D113" s="12">
        <f t="shared" ref="D113:D124" si="45">-H97-IF(A113=12,$B$6,0)</f>
        <v>-126.14254247989135</v>
      </c>
      <c r="E113" s="12">
        <f t="shared" ref="E113:E124" si="46">-H97-$B$6/12</f>
        <v>-150.309209146558</v>
      </c>
      <c r="F113" s="12">
        <f t="shared" ref="F113:F124" si="47">-K97</f>
        <v>-156.6269902458651</v>
      </c>
      <c r="G113" s="12">
        <f t="shared" ref="G113:G124" si="48">-I97</f>
        <v>-114.94316590832713</v>
      </c>
      <c r="H113" s="12">
        <f t="shared" ref="H113:H124" si="49">-I97-IF(A113=12,$B$6,0)</f>
        <v>-114.94316590832713</v>
      </c>
      <c r="I113" s="12">
        <f t="shared" ref="I113:I124" si="50">-I97-$B$6/12</f>
        <v>-139.10983257499379</v>
      </c>
      <c r="J113" s="12">
        <f t="shared" ref="J113:J124" si="51">-L97</f>
        <v>-142.72109766950618</v>
      </c>
    </row>
    <row r="114" spans="1:10" x14ac:dyDescent="0.2">
      <c r="A114" s="10">
        <v>2</v>
      </c>
      <c r="B114" s="23">
        <f t="shared" si="43"/>
        <v>46701</v>
      </c>
      <c r="C114" s="12">
        <f t="shared" si="44"/>
        <v>-124.77172587963304</v>
      </c>
      <c r="D114" s="12">
        <f t="shared" si="45"/>
        <v>-124.77172587963304</v>
      </c>
      <c r="E114" s="12">
        <f t="shared" si="46"/>
        <v>-148.9383925462997</v>
      </c>
      <c r="F114" s="12">
        <f t="shared" si="47"/>
        <v>-154.92489296721101</v>
      </c>
      <c r="G114" s="12">
        <f t="shared" si="48"/>
        <v>-114.94316590832713</v>
      </c>
      <c r="H114" s="12">
        <f t="shared" si="49"/>
        <v>-114.94316590832713</v>
      </c>
      <c r="I114" s="12">
        <f t="shared" si="50"/>
        <v>-139.10983257499379</v>
      </c>
      <c r="J114" s="12">
        <f t="shared" si="51"/>
        <v>-142.72109766950618</v>
      </c>
    </row>
    <row r="115" spans="1:10" x14ac:dyDescent="0.2">
      <c r="A115" s="10">
        <v>3</v>
      </c>
      <c r="B115" s="23">
        <f t="shared" si="43"/>
        <v>46731</v>
      </c>
      <c r="C115" s="12">
        <f t="shared" si="44"/>
        <v>-121.78545206657611</v>
      </c>
      <c r="D115" s="12">
        <f t="shared" si="45"/>
        <v>-121.78545206657611</v>
      </c>
      <c r="E115" s="12">
        <f t="shared" si="46"/>
        <v>-145.95211873324277</v>
      </c>
      <c r="F115" s="12">
        <f t="shared" si="47"/>
        <v>-151.21693631599868</v>
      </c>
      <c r="G115" s="12">
        <f t="shared" si="48"/>
        <v>-114.94316590832713</v>
      </c>
      <c r="H115" s="12">
        <f t="shared" si="49"/>
        <v>-114.94316590832713</v>
      </c>
      <c r="I115" s="12">
        <f t="shared" si="50"/>
        <v>-139.10983257499379</v>
      </c>
      <c r="J115" s="12">
        <f t="shared" si="51"/>
        <v>-142.72109766950618</v>
      </c>
    </row>
    <row r="116" spans="1:10" x14ac:dyDescent="0.2">
      <c r="A116" s="10">
        <v>4</v>
      </c>
      <c r="B116" s="23">
        <f t="shared" si="43"/>
        <v>46762</v>
      </c>
      <c r="C116" s="12">
        <f t="shared" si="44"/>
        <v>-120.26777571969976</v>
      </c>
      <c r="D116" s="12">
        <f t="shared" si="45"/>
        <v>-120.26777571969976</v>
      </c>
      <c r="E116" s="12">
        <f t="shared" si="46"/>
        <v>-144.43444238636641</v>
      </c>
      <c r="F116" s="12">
        <f t="shared" si="47"/>
        <v>-149.33248818529387</v>
      </c>
      <c r="G116" s="12">
        <f t="shared" si="48"/>
        <v>-114.94316590832713</v>
      </c>
      <c r="H116" s="12">
        <f t="shared" si="49"/>
        <v>-114.94316590832713</v>
      </c>
      <c r="I116" s="12">
        <f t="shared" si="50"/>
        <v>-139.10983257499379</v>
      </c>
      <c r="J116" s="12">
        <f t="shared" si="51"/>
        <v>-142.72109766950618</v>
      </c>
    </row>
    <row r="117" spans="1:10" x14ac:dyDescent="0.2">
      <c r="A117" s="10">
        <v>5</v>
      </c>
      <c r="B117" s="23">
        <f t="shared" si="43"/>
        <v>46793</v>
      </c>
      <c r="C117" s="12">
        <f t="shared" si="44"/>
        <v>-118.01580063973311</v>
      </c>
      <c r="D117" s="12">
        <f t="shared" si="45"/>
        <v>-118.01580063973311</v>
      </c>
      <c r="E117" s="12">
        <f t="shared" si="46"/>
        <v>-142.18246730639979</v>
      </c>
      <c r="F117" s="12">
        <f t="shared" si="47"/>
        <v>-146.5362857943353</v>
      </c>
      <c r="G117" s="12">
        <f t="shared" si="48"/>
        <v>-114.94316590832713</v>
      </c>
      <c r="H117" s="12">
        <f t="shared" si="49"/>
        <v>-114.94316590832713</v>
      </c>
      <c r="I117" s="12">
        <f t="shared" si="50"/>
        <v>-139.10983257499379</v>
      </c>
      <c r="J117" s="12">
        <f t="shared" si="51"/>
        <v>-142.72109766950618</v>
      </c>
    </row>
    <row r="118" spans="1:10" x14ac:dyDescent="0.2">
      <c r="A118" s="10">
        <v>6</v>
      </c>
      <c r="B118" s="23">
        <f t="shared" si="43"/>
        <v>46822</v>
      </c>
      <c r="C118" s="12">
        <f t="shared" si="44"/>
        <v>-114.73617645710786</v>
      </c>
      <c r="D118" s="12">
        <f t="shared" si="45"/>
        <v>-114.73617645710786</v>
      </c>
      <c r="E118" s="12">
        <f t="shared" si="46"/>
        <v>-138.90284312377452</v>
      </c>
      <c r="F118" s="12">
        <f t="shared" si="47"/>
        <v>-142.4640857675756</v>
      </c>
      <c r="G118" s="12">
        <f t="shared" si="48"/>
        <v>-114.94316590832713</v>
      </c>
      <c r="H118" s="12">
        <f t="shared" si="49"/>
        <v>-114.94316590832713</v>
      </c>
      <c r="I118" s="12">
        <f t="shared" si="50"/>
        <v>-139.10983257499379</v>
      </c>
      <c r="J118" s="12">
        <f t="shared" si="51"/>
        <v>-142.72109766950618</v>
      </c>
    </row>
    <row r="119" spans="1:10" x14ac:dyDescent="0.2">
      <c r="A119" s="10">
        <v>7</v>
      </c>
      <c r="B119" s="23">
        <f t="shared" si="43"/>
        <v>46853</v>
      </c>
      <c r="C119" s="12">
        <f t="shared" si="44"/>
        <v>-113.51185047979983</v>
      </c>
      <c r="D119" s="12">
        <f t="shared" si="45"/>
        <v>-113.51185047979983</v>
      </c>
      <c r="E119" s="12">
        <f t="shared" si="46"/>
        <v>-137.6785171464665</v>
      </c>
      <c r="F119" s="12">
        <f t="shared" si="47"/>
        <v>-140.94388101241813</v>
      </c>
      <c r="G119" s="12">
        <f t="shared" si="48"/>
        <v>-114.94316590832713</v>
      </c>
      <c r="H119" s="12">
        <f t="shared" si="49"/>
        <v>-114.94316590832713</v>
      </c>
      <c r="I119" s="12">
        <f t="shared" si="50"/>
        <v>-139.10983257499379</v>
      </c>
      <c r="J119" s="12">
        <f t="shared" si="51"/>
        <v>-142.72109766950618</v>
      </c>
    </row>
    <row r="120" spans="1:10" x14ac:dyDescent="0.2">
      <c r="A120" s="10">
        <v>8</v>
      </c>
      <c r="B120" s="23">
        <f t="shared" si="43"/>
        <v>46883</v>
      </c>
      <c r="C120" s="12">
        <f t="shared" si="44"/>
        <v>-110.89272603328806</v>
      </c>
      <c r="D120" s="12">
        <f t="shared" si="45"/>
        <v>-110.89272603328806</v>
      </c>
      <c r="E120" s="12">
        <f t="shared" si="46"/>
        <v>-135.05939269995471</v>
      </c>
      <c r="F120" s="12">
        <f t="shared" si="47"/>
        <v>-137.69180149133268</v>
      </c>
      <c r="G120" s="12">
        <f t="shared" si="48"/>
        <v>-114.94316590832713</v>
      </c>
      <c r="H120" s="12">
        <f t="shared" si="49"/>
        <v>-114.94316590832713</v>
      </c>
      <c r="I120" s="12">
        <f t="shared" si="50"/>
        <v>-139.10983257499379</v>
      </c>
      <c r="J120" s="12">
        <f t="shared" si="51"/>
        <v>-142.72109766950618</v>
      </c>
    </row>
    <row r="121" spans="1:10" x14ac:dyDescent="0.2">
      <c r="A121" s="10">
        <v>9</v>
      </c>
      <c r="B121" s="23">
        <f t="shared" si="43"/>
        <v>46914</v>
      </c>
      <c r="C121" s="12">
        <f t="shared" si="44"/>
        <v>-109.00790031986656</v>
      </c>
      <c r="D121" s="12">
        <f t="shared" si="45"/>
        <v>-109.00790031986656</v>
      </c>
      <c r="E121" s="12">
        <f t="shared" si="46"/>
        <v>-133.17456698653322</v>
      </c>
      <c r="F121" s="12">
        <f t="shared" si="47"/>
        <v>-135.35147623050099</v>
      </c>
      <c r="G121" s="12">
        <f t="shared" si="48"/>
        <v>-114.94316590832713</v>
      </c>
      <c r="H121" s="12">
        <f t="shared" si="49"/>
        <v>-114.94316590832713</v>
      </c>
      <c r="I121" s="12">
        <f t="shared" si="50"/>
        <v>-139.10983257499379</v>
      </c>
      <c r="J121" s="12">
        <f t="shared" si="51"/>
        <v>-142.72109766950618</v>
      </c>
    </row>
    <row r="122" spans="1:10" x14ac:dyDescent="0.2">
      <c r="A122" s="10">
        <v>10</v>
      </c>
      <c r="B122" s="23">
        <f t="shared" si="43"/>
        <v>46944</v>
      </c>
      <c r="C122" s="12">
        <f t="shared" si="44"/>
        <v>-106.53563561997284</v>
      </c>
      <c r="D122" s="12">
        <f t="shared" si="45"/>
        <v>-106.53563561997284</v>
      </c>
      <c r="E122" s="12">
        <f t="shared" si="46"/>
        <v>-130.70230228663951</v>
      </c>
      <c r="F122" s="12">
        <f t="shared" si="47"/>
        <v>-132.28174756146626</v>
      </c>
      <c r="G122" s="12">
        <f t="shared" si="48"/>
        <v>-114.94316590832713</v>
      </c>
      <c r="H122" s="12">
        <f t="shared" si="49"/>
        <v>-114.94316590832713</v>
      </c>
      <c r="I122" s="12">
        <f t="shared" si="50"/>
        <v>-139.10983257499379</v>
      </c>
      <c r="J122" s="12">
        <f t="shared" si="51"/>
        <v>-142.72109766950618</v>
      </c>
    </row>
    <row r="123" spans="1:10" x14ac:dyDescent="0.2">
      <c r="A123" s="10">
        <v>11</v>
      </c>
      <c r="B123" s="23">
        <f t="shared" si="43"/>
        <v>46975</v>
      </c>
      <c r="C123" s="12">
        <f t="shared" si="44"/>
        <v>-104.50395015993328</v>
      </c>
      <c r="D123" s="12">
        <f t="shared" si="45"/>
        <v>-104.50395015993328</v>
      </c>
      <c r="E123" s="12">
        <f t="shared" si="46"/>
        <v>-128.67061682659994</v>
      </c>
      <c r="F123" s="12">
        <f t="shared" si="47"/>
        <v>-129.75907144858382</v>
      </c>
      <c r="G123" s="12">
        <f t="shared" si="48"/>
        <v>-114.94316590832713</v>
      </c>
      <c r="H123" s="12">
        <f t="shared" si="49"/>
        <v>-114.94316590832713</v>
      </c>
      <c r="I123" s="12">
        <f t="shared" si="50"/>
        <v>-139.10983257499379</v>
      </c>
      <c r="J123" s="12">
        <f t="shared" si="51"/>
        <v>-142.72109766950618</v>
      </c>
    </row>
    <row r="124" spans="1:10" x14ac:dyDescent="0.2">
      <c r="A124" s="10">
        <v>12</v>
      </c>
      <c r="B124" s="23">
        <f t="shared" si="43"/>
        <v>47006</v>
      </c>
      <c r="C124" s="12">
        <f t="shared" si="44"/>
        <v>-102.25197507996664</v>
      </c>
      <c r="D124" s="12">
        <f t="shared" si="45"/>
        <v>-392.25197507996666</v>
      </c>
      <c r="E124" s="12">
        <f t="shared" si="46"/>
        <v>-126.41864174663331</v>
      </c>
      <c r="F124" s="12">
        <f t="shared" si="47"/>
        <v>-126.96286905762524</v>
      </c>
      <c r="G124" s="12">
        <f t="shared" si="48"/>
        <v>-114.94316590832713</v>
      </c>
      <c r="H124" s="12">
        <f t="shared" si="49"/>
        <v>-404.94316590832716</v>
      </c>
      <c r="I124" s="12">
        <f t="shared" si="50"/>
        <v>-139.10983257499379</v>
      </c>
      <c r="J124" s="12">
        <f t="shared" si="51"/>
        <v>-142.72109766950618</v>
      </c>
    </row>
    <row r="125" spans="1:10" x14ac:dyDescent="0.2">
      <c r="A125" s="20" t="s">
        <v>115</v>
      </c>
      <c r="B125" s="14"/>
      <c r="C125" s="21">
        <f t="shared" ref="C125:J125" si="52">SUM(C112:C124)</f>
        <v>-462.42351093546847</v>
      </c>
      <c r="D125" s="21">
        <f t="shared" si="52"/>
        <v>-462.42351093546847</v>
      </c>
      <c r="E125" s="21">
        <f t="shared" si="52"/>
        <v>-462.42351093546836</v>
      </c>
      <c r="F125" s="21">
        <f t="shared" si="52"/>
        <v>-504.09252607820673</v>
      </c>
      <c r="G125" s="21">
        <f t="shared" si="52"/>
        <v>-469.31799089992569</v>
      </c>
      <c r="H125" s="21">
        <f t="shared" si="52"/>
        <v>-469.31799089992569</v>
      </c>
      <c r="I125" s="21">
        <f t="shared" si="52"/>
        <v>-469.31799089992546</v>
      </c>
      <c r="J125" s="21">
        <f t="shared" si="52"/>
        <v>-512.65317203407437</v>
      </c>
    </row>
    <row r="127" spans="1:10" x14ac:dyDescent="0.2">
      <c r="A127" s="6" t="s">
        <v>150</v>
      </c>
    </row>
    <row r="128" spans="1:10" ht="42" customHeight="1" x14ac:dyDescent="0.2">
      <c r="A128" s="13" t="s">
        <v>100</v>
      </c>
      <c r="B128" s="13" t="s">
        <v>140</v>
      </c>
      <c r="C128" s="13" t="s">
        <v>107</v>
      </c>
      <c r="D128" s="13" t="s">
        <v>108</v>
      </c>
      <c r="E128" s="13" t="s">
        <v>109</v>
      </c>
      <c r="F128" s="13" t="s">
        <v>110</v>
      </c>
      <c r="G128" s="13" t="s">
        <v>111</v>
      </c>
      <c r="H128" s="13" t="s">
        <v>112</v>
      </c>
      <c r="I128" s="13" t="s">
        <v>113</v>
      </c>
      <c r="J128" s="13" t="s">
        <v>114</v>
      </c>
    </row>
    <row r="129" spans="1:10" x14ac:dyDescent="0.2">
      <c r="A129" s="10">
        <v>0</v>
      </c>
      <c r="B129" s="10">
        <f t="shared" ref="B129:B141" si="53">C96</f>
        <v>0</v>
      </c>
      <c r="C129" s="12">
        <f t="shared" ref="C129:C141" si="54">C112*(1+$D$30)^(-$B129/365)</f>
        <v>910</v>
      </c>
      <c r="D129" s="12">
        <f t="shared" ref="D129:D141" si="55">D112*(1+$D$31)^(-$B129/365)</f>
        <v>1200</v>
      </c>
      <c r="E129" s="12">
        <f t="shared" ref="E129:E141" si="56">E112*(1+$D$32)^(-$B129/365)</f>
        <v>1200</v>
      </c>
      <c r="F129" s="12">
        <f t="shared" ref="F129:F141" si="57">F112*(1+$D$33)^(-$B129/365)</f>
        <v>1200</v>
      </c>
      <c r="G129" s="12">
        <f t="shared" ref="G129:G141" si="58">G112*(1+$D$34)^(-$B129/365)</f>
        <v>910</v>
      </c>
      <c r="H129" s="12">
        <f t="shared" ref="H129:H141" si="59">H112*(1+$D$35)^(-$B129/365)</f>
        <v>1200</v>
      </c>
      <c r="I129" s="12">
        <f t="shared" ref="I129:I141" si="60">I112*(1+$D$36)^(-$B129/365)</f>
        <v>1200</v>
      </c>
      <c r="J129" s="12">
        <f t="shared" ref="J129:J141" si="61">J112*(1+$D$37)^(-$B129/365)</f>
        <v>1200</v>
      </c>
    </row>
    <row r="130" spans="1:10" x14ac:dyDescent="0.2">
      <c r="A130" s="10">
        <v>1</v>
      </c>
      <c r="B130" s="10">
        <f t="shared" si="53"/>
        <v>30</v>
      </c>
      <c r="C130" s="12">
        <f t="shared" si="54"/>
        <v>-117.71639585020063</v>
      </c>
      <c r="D130" s="12">
        <f t="shared" si="55"/>
        <v>-120.42697396578288</v>
      </c>
      <c r="E130" s="12">
        <f t="shared" si="56"/>
        <v>-142.4577003118782</v>
      </c>
      <c r="F130" s="12">
        <f t="shared" si="57"/>
        <v>-147.74488788704019</v>
      </c>
      <c r="G130" s="12">
        <f t="shared" si="58"/>
        <v>-107.46630705930035</v>
      </c>
      <c r="H130" s="12">
        <f t="shared" si="59"/>
        <v>-109.81334221461407</v>
      </c>
      <c r="I130" s="12">
        <f t="shared" si="60"/>
        <v>-131.97799538461493</v>
      </c>
      <c r="J130" s="12">
        <f t="shared" si="61"/>
        <v>-134.81979840868826</v>
      </c>
    </row>
    <row r="131" spans="1:10" x14ac:dyDescent="0.2">
      <c r="A131" s="10">
        <v>2</v>
      </c>
      <c r="B131" s="10">
        <f t="shared" si="53"/>
        <v>61</v>
      </c>
      <c r="C131" s="12">
        <f t="shared" si="54"/>
        <v>-108.40919378402336</v>
      </c>
      <c r="D131" s="12">
        <f t="shared" si="55"/>
        <v>-113.54533846921848</v>
      </c>
      <c r="E131" s="12">
        <f t="shared" si="56"/>
        <v>-133.54593896208669</v>
      </c>
      <c r="F131" s="12">
        <f t="shared" si="57"/>
        <v>-137.58395426998254</v>
      </c>
      <c r="G131" s="12">
        <f t="shared" si="58"/>
        <v>-100.25078942624224</v>
      </c>
      <c r="H131" s="12">
        <f t="shared" si="59"/>
        <v>-104.75291803591324</v>
      </c>
      <c r="I131" s="12">
        <f t="shared" si="60"/>
        <v>-124.99232616124551</v>
      </c>
      <c r="J131" s="12">
        <f t="shared" si="61"/>
        <v>-127.11438077173447</v>
      </c>
    </row>
    <row r="132" spans="1:10" x14ac:dyDescent="0.2">
      <c r="A132" s="10">
        <v>3</v>
      </c>
      <c r="B132" s="10">
        <f t="shared" si="53"/>
        <v>91</v>
      </c>
      <c r="C132" s="12">
        <f t="shared" si="54"/>
        <v>-98.746274909719077</v>
      </c>
      <c r="D132" s="12">
        <f t="shared" si="55"/>
        <v>-105.80610639920188</v>
      </c>
      <c r="E132" s="12">
        <f t="shared" si="56"/>
        <v>-124.03229140257386</v>
      </c>
      <c r="F132" s="12">
        <f t="shared" si="57"/>
        <v>-126.67557305604245</v>
      </c>
      <c r="G132" s="12">
        <f t="shared" si="58"/>
        <v>-93.729644857792394</v>
      </c>
      <c r="H132" s="12">
        <f t="shared" si="59"/>
        <v>-100.07787714348834</v>
      </c>
      <c r="I132" s="12">
        <f t="shared" si="60"/>
        <v>-118.58426065122364</v>
      </c>
      <c r="J132" s="12">
        <f t="shared" si="61"/>
        <v>-120.07709771245747</v>
      </c>
    </row>
    <row r="133" spans="1:10" x14ac:dyDescent="0.2">
      <c r="A133" s="10">
        <v>4</v>
      </c>
      <c r="B133" s="10">
        <f t="shared" si="53"/>
        <v>122</v>
      </c>
      <c r="C133" s="12">
        <f t="shared" si="54"/>
        <v>-90.792326242806823</v>
      </c>
      <c r="D133" s="12">
        <f t="shared" si="55"/>
        <v>-99.599127203761057</v>
      </c>
      <c r="E133" s="12">
        <f t="shared" si="56"/>
        <v>-116.12315221203448</v>
      </c>
      <c r="F133" s="12">
        <f t="shared" si="57"/>
        <v>-117.77346873372731</v>
      </c>
      <c r="G133" s="12">
        <f t="shared" si="58"/>
        <v>-87.436436095733711</v>
      </c>
      <c r="H133" s="12">
        <f t="shared" si="59"/>
        <v>-95.466083175318232</v>
      </c>
      <c r="I133" s="12">
        <f t="shared" si="60"/>
        <v>-112.30752930981218</v>
      </c>
      <c r="J133" s="12">
        <f t="shared" si="61"/>
        <v>-113.21427639519786</v>
      </c>
    </row>
    <row r="134" spans="1:10" x14ac:dyDescent="0.2">
      <c r="A134" s="10">
        <v>5</v>
      </c>
      <c r="B134" s="10">
        <f t="shared" si="53"/>
        <v>153</v>
      </c>
      <c r="C134" s="12">
        <f t="shared" si="54"/>
        <v>-82.949653711920405</v>
      </c>
      <c r="D134" s="12">
        <f t="shared" si="55"/>
        <v>-93.161686945655759</v>
      </c>
      <c r="E134" s="12">
        <f t="shared" si="56"/>
        <v>-108.1478220591095</v>
      </c>
      <c r="F134" s="12">
        <f t="shared" si="57"/>
        <v>-108.80254814470931</v>
      </c>
      <c r="G134" s="12">
        <f t="shared" si="58"/>
        <v>-81.565766825667581</v>
      </c>
      <c r="H134" s="12">
        <f t="shared" si="59"/>
        <v>-91.066810137966385</v>
      </c>
      <c r="I134" s="12">
        <f t="shared" si="60"/>
        <v>-106.36302887422161</v>
      </c>
      <c r="J134" s="12">
        <f t="shared" si="61"/>
        <v>-106.74368904536321</v>
      </c>
    </row>
    <row r="135" spans="1:10" x14ac:dyDescent="0.2">
      <c r="A135" s="10">
        <v>6</v>
      </c>
      <c r="B135" s="10">
        <f t="shared" si="53"/>
        <v>182</v>
      </c>
      <c r="C135" s="12">
        <f t="shared" si="54"/>
        <v>-75.43119546368878</v>
      </c>
      <c r="D135" s="12">
        <f t="shared" si="55"/>
        <v>-86.602616567019936</v>
      </c>
      <c r="E135" s="12">
        <f t="shared" si="56"/>
        <v>-100.31361041380245</v>
      </c>
      <c r="F135" s="12">
        <f t="shared" si="57"/>
        <v>-99.974739423745888</v>
      </c>
      <c r="G135" s="12">
        <f t="shared" si="58"/>
        <v>-76.431219339952364</v>
      </c>
      <c r="H135" s="12">
        <f t="shared" si="59"/>
        <v>-87.135075969066904</v>
      </c>
      <c r="I135" s="12">
        <f t="shared" si="60"/>
        <v>-101.08722448944387</v>
      </c>
      <c r="J135" s="12">
        <f t="shared" si="61"/>
        <v>-101.02577425823515</v>
      </c>
    </row>
    <row r="136" spans="1:10" x14ac:dyDescent="0.2">
      <c r="A136" s="10">
        <v>7</v>
      </c>
      <c r="B136" s="10">
        <f t="shared" si="53"/>
        <v>213</v>
      </c>
      <c r="C136" s="12">
        <f t="shared" si="54"/>
        <v>-69.481050647321538</v>
      </c>
      <c r="D136" s="12">
        <f t="shared" si="55"/>
        <v>-81.670041755807944</v>
      </c>
      <c r="E136" s="12">
        <f t="shared" si="56"/>
        <v>-94.06728085400043</v>
      </c>
      <c r="F136" s="12">
        <f t="shared" si="57"/>
        <v>-93.117612789666438</v>
      </c>
      <c r="G136" s="12">
        <f t="shared" si="58"/>
        <v>-71.299463853470044</v>
      </c>
      <c r="H136" s="12">
        <f t="shared" si="59"/>
        <v>-83.119712841469479</v>
      </c>
      <c r="I136" s="12">
        <f t="shared" si="60"/>
        <v>-95.736621073065095</v>
      </c>
      <c r="J136" s="12">
        <f t="shared" si="61"/>
        <v>-95.25180194894152</v>
      </c>
    </row>
    <row r="137" spans="1:10" x14ac:dyDescent="0.2">
      <c r="A137" s="10">
        <v>8</v>
      </c>
      <c r="B137" s="10">
        <f t="shared" si="53"/>
        <v>243</v>
      </c>
      <c r="C137" s="12">
        <f t="shared" si="54"/>
        <v>-63.34372654004973</v>
      </c>
      <c r="D137" s="12">
        <f t="shared" si="55"/>
        <v>-76.170503649344084</v>
      </c>
      <c r="E137" s="12">
        <f t="shared" si="56"/>
        <v>-87.457597433351765</v>
      </c>
      <c r="F137" s="12">
        <f t="shared" si="57"/>
        <v>-85.810325616127884</v>
      </c>
      <c r="G137" s="12">
        <f t="shared" si="58"/>
        <v>-66.661554126250124</v>
      </c>
      <c r="H137" s="12">
        <f t="shared" si="59"/>
        <v>-79.410144995662435</v>
      </c>
      <c r="I137" s="12">
        <f t="shared" si="60"/>
        <v>-90.828427439218189</v>
      </c>
      <c r="J137" s="12">
        <f t="shared" si="61"/>
        <v>-89.978489140813139</v>
      </c>
    </row>
    <row r="138" spans="1:10" x14ac:dyDescent="0.2">
      <c r="A138" s="10">
        <v>9</v>
      </c>
      <c r="B138" s="10">
        <f t="shared" si="53"/>
        <v>274</v>
      </c>
      <c r="C138" s="12">
        <f t="shared" si="54"/>
        <v>-57.973975150861804</v>
      </c>
      <c r="D138" s="12">
        <f t="shared" si="55"/>
        <v>-71.372790229023082</v>
      </c>
      <c r="E138" s="12">
        <f t="shared" si="56"/>
        <v>-81.586391963607554</v>
      </c>
      <c r="F138" s="12">
        <f t="shared" si="57"/>
        <v>-79.41365539188179</v>
      </c>
      <c r="G138" s="12">
        <f t="shared" si="58"/>
        <v>-62.185754851044749</v>
      </c>
      <c r="H138" s="12">
        <f t="shared" si="59"/>
        <v>-75.750762541162217</v>
      </c>
      <c r="I138" s="12">
        <f t="shared" si="60"/>
        <v>-86.020827897187601</v>
      </c>
      <c r="J138" s="12">
        <f t="shared" si="61"/>
        <v>-84.835907373479813</v>
      </c>
    </row>
    <row r="139" spans="1:10" x14ac:dyDescent="0.2">
      <c r="A139" s="10">
        <v>10</v>
      </c>
      <c r="B139" s="10">
        <f t="shared" si="53"/>
        <v>304</v>
      </c>
      <c r="C139" s="12">
        <f t="shared" si="54"/>
        <v>-52.874391628160062</v>
      </c>
      <c r="D139" s="12">
        <f t="shared" si="55"/>
        <v>-66.5934930497598</v>
      </c>
      <c r="E139" s="12">
        <f t="shared" si="56"/>
        <v>-75.889206404167027</v>
      </c>
      <c r="F139" s="12">
        <f t="shared" si="57"/>
        <v>-73.211275632338584</v>
      </c>
      <c r="G139" s="12">
        <f t="shared" si="58"/>
        <v>-58.140676505001395</v>
      </c>
      <c r="H139" s="12">
        <f t="shared" si="59"/>
        <v>-72.370065190173946</v>
      </c>
      <c r="I139" s="12">
        <f t="shared" si="60"/>
        <v>-81.610740355650137</v>
      </c>
      <c r="J139" s="12">
        <f t="shared" si="61"/>
        <v>-80.139237412510795</v>
      </c>
    </row>
    <row r="140" spans="1:10" x14ac:dyDescent="0.2">
      <c r="A140" s="10">
        <v>11</v>
      </c>
      <c r="B140" s="10">
        <f t="shared" si="53"/>
        <v>335</v>
      </c>
      <c r="C140" s="12">
        <f t="shared" si="54"/>
        <v>-48.290059948639289</v>
      </c>
      <c r="D140" s="12">
        <f t="shared" si="55"/>
        <v>-62.267371668867078</v>
      </c>
      <c r="E140" s="12">
        <f t="shared" si="56"/>
        <v>-70.680537049815342</v>
      </c>
      <c r="F140" s="12">
        <f t="shared" si="57"/>
        <v>-67.610866468364975</v>
      </c>
      <c r="G140" s="12">
        <f t="shared" si="58"/>
        <v>-54.236987172043534</v>
      </c>
      <c r="H140" s="12">
        <f t="shared" si="59"/>
        <v>-69.035104061436243</v>
      </c>
      <c r="I140" s="12">
        <f t="shared" si="60"/>
        <v>-77.291038154253357</v>
      </c>
      <c r="J140" s="12">
        <f t="shared" si="61"/>
        <v>-75.559002902008871</v>
      </c>
    </row>
    <row r="141" spans="1:10" x14ac:dyDescent="0.2">
      <c r="A141" s="10">
        <v>12</v>
      </c>
      <c r="B141" s="10">
        <f t="shared" si="53"/>
        <v>366</v>
      </c>
      <c r="C141" s="12">
        <f t="shared" si="54"/>
        <v>-43.991756122608606</v>
      </c>
      <c r="D141" s="12">
        <f t="shared" si="55"/>
        <v>-222.78395009655793</v>
      </c>
      <c r="E141" s="12">
        <f t="shared" si="56"/>
        <v>-65.698470933572722</v>
      </c>
      <c r="F141" s="12">
        <f t="shared" si="57"/>
        <v>-62.281092586372502</v>
      </c>
      <c r="G141" s="12">
        <f t="shared" si="58"/>
        <v>-50.595399887501593</v>
      </c>
      <c r="H141" s="12">
        <f t="shared" si="59"/>
        <v>-232.00210369372869</v>
      </c>
      <c r="I141" s="12">
        <f t="shared" si="60"/>
        <v>-73.199980210063814</v>
      </c>
      <c r="J141" s="12">
        <f t="shared" si="61"/>
        <v>-71.240544630569545</v>
      </c>
    </row>
    <row r="142" spans="1:10" x14ac:dyDescent="0.2">
      <c r="A142" s="20" t="s">
        <v>119</v>
      </c>
      <c r="B142" s="14"/>
      <c r="C142" s="21">
        <f t="shared" ref="C142:J142" si="62">SUM(C129:C141)</f>
        <v>0</v>
      </c>
      <c r="D142" s="21">
        <f t="shared" si="62"/>
        <v>0</v>
      </c>
      <c r="E142" s="21">
        <f t="shared" si="62"/>
        <v>0</v>
      </c>
      <c r="F142" s="21">
        <f t="shared" si="62"/>
        <v>0</v>
      </c>
      <c r="G142" s="21">
        <f t="shared" si="62"/>
        <v>-1.1368683772161603E-13</v>
      </c>
      <c r="H142" s="21">
        <f t="shared" si="62"/>
        <v>0</v>
      </c>
      <c r="I142" s="21">
        <f t="shared" si="62"/>
        <v>0</v>
      </c>
      <c r="J142" s="21">
        <f t="shared" si="62"/>
        <v>-1.2789769243681803E-13</v>
      </c>
    </row>
  </sheetData>
  <dataValidations count="3">
    <dataValidation type="decimal" operator="greaterThanOrEqual" showErrorMessage="1" errorTitle="Not allowed" error="Enter a number that is 0 or more." sqref="B5:B6" xr:uid="{00000000-0002-0000-0200-000000000000}">
      <formula1>0</formula1>
    </dataValidation>
    <dataValidation type="decimal" operator="greaterThan" showErrorMessage="1" errorTitle="Not allowed" error="Enter a credit amount that is more than 0." sqref="B7" xr:uid="{00000000-0002-0000-0200-000001000000}">
      <formula1>0</formula1>
    </dataValidation>
    <dataValidation type="whole" showErrorMessage="1" errorTitle="Not allowed" error="Enter a day of the year from 1 to 365." sqref="B8" xr:uid="{00000000-0002-0000-0200-000002000000}">
      <formula1>1</formula1>
      <formula2>365</formula2>
    </dataValidation>
  </dataValidations>
  <pageMargins left="0.75" right="0.75" top="1" bottom="1" header="0.5" footer="0.5"/>
  <drawing r:id="rId1"/>
  <legacyDrawing r:id="rId2"/>
  <mc:AlternateContent xmlns:mc="http://schemas.openxmlformats.org/markup-compatibility/2006">
    <mc:Choice Requires="x14">
      <controls>
        <mc:AlternateContent xmlns:mc="http://schemas.openxmlformats.org/markup-compatibility/2006">
          <mc:Choice Requires="x14">
            <control shapeId="1028" r:id="rId3" name="Scroll Bar 4">
              <controlPr defaultSize="0" autoPict="0">
                <anchor moveWithCells="1">
                  <from>
                    <xdr:col>2</xdr:col>
                    <xdr:colOff>127000</xdr:colOff>
                    <xdr:row>8</xdr:row>
                    <xdr:rowOff>50800</xdr:rowOff>
                  </from>
                  <to>
                    <xdr:col>7</xdr:col>
                    <xdr:colOff>355600</xdr:colOff>
                    <xdr:row>10</xdr:row>
                    <xdr:rowOff>50800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Read me</vt:lpstr>
      <vt:lpstr>Monthly</vt:lpstr>
      <vt:lpstr>Daily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Gabor Javorszky</cp:lastModifiedBy>
  <dcterms:created xsi:type="dcterms:W3CDTF">2026-10-17T14:27:16Z</dcterms:created>
  <dcterms:modified xsi:type="dcterms:W3CDTF">2026-10-17T14:39:16Z</dcterms:modified>
</cp:coreProperties>
</file>