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ost plan" sheetId="2" state="visible" r:id="rId2"/>
    <sheet xmlns:r="http://schemas.openxmlformats.org/officeDocument/2006/relationships" name="Register" sheetId="3" state="visible" r:id="rId3"/>
    <sheet xmlns:r="http://schemas.openxmlformats.org/officeDocument/2006/relationships" name="Log" sheetId="4" state="visible" r:id="rId4"/>
    <sheet xmlns:r="http://schemas.openxmlformats.org/officeDocument/2006/relationships" name="Allowances" sheetId="5" state="visible" r:id="rId5"/>
    <sheet xmlns:r="http://schemas.openxmlformats.org/officeDocument/2006/relationships" name="Progress claims" sheetId="6" state="visible" r:id="rId6"/>
    <sheet xmlns:r="http://schemas.openxmlformats.org/officeDocument/2006/relationships" name="Cash flow" sheetId="7" state="visible" r:id="rId7"/>
  </sheets>
  <definedNames>
    <definedName name="_xlnm.Print_Titles" localSheetId="1">'Cost plan'!$4:$4</definedName>
    <definedName name="_xlnm.Print_Area" localSheetId="1">'Cost plan'!$A$1:$M$52</definedName>
    <definedName name="_xlnm.Print_Titles" localSheetId="2">'Register'!$7:$7</definedName>
    <definedName name="_xlnm.Print_Area" localSheetId="2">'Register'!$A$1:$N$48</definedName>
    <definedName name="_xlnm.Print_Titles" localSheetId="3">'Log'!$5:$5</definedName>
    <definedName name="_xlnm.Print_Area" localSheetId="3">'Log'!$A$1:$J$46</definedName>
    <definedName name="_xlnm.Print_Titles" localSheetId="4">'Allowances'!$4:$4</definedName>
    <definedName name="_xlnm.Print_Area" localSheetId="4">'Allowances'!$A$1:$L$23</definedName>
    <definedName name="_xlnm.Print_Titles" localSheetId="5">'Progress claims'!$4:$4</definedName>
    <definedName name="_xlnm.Print_Area" localSheetId="5">'Progress claims'!$A$1:$Q$27</definedName>
    <definedName name="_xlnm.Print_Titles" localSheetId="6">'Cash flow'!$7:$7</definedName>
    <definedName name="_xlnm.Print_Area" localSheetId="6">'Cash flow'!$A$1:$M$31</definedName>
  </definedNames>
  <calcPr calcId="124519" fullCalcOnLoad="1"/>
</workbook>
</file>

<file path=xl/styles.xml><?xml version="1.0" encoding="utf-8"?>
<styleSheet xmlns="http://schemas.openxmlformats.org/spreadsheetml/2006/main">
  <numFmts count="5">
    <numFmt numFmtId="164" formatCode="#,##0.##"/>
    <numFmt numFmtId="165" formatCode="&quot;$&quot;#,##0;[Red]-&quot;$&quot;#,##0;&quot;–&quot;"/>
    <numFmt numFmtId="166" formatCode="&quot;$&quot;#,##0&quot; left&quot;;[Red]-&quot;$&quot;#,##0&quot; left&quot;;&quot;$0 left&quot;"/>
    <numFmt numFmtId="167" formatCode="d mmm yyyy"/>
    <numFmt numFmtId="168" formatCode="0.0%"/>
  </numFmts>
  <fonts count="13">
    <font>
      <name val="Calibri"/>
      <family val="2"/>
      <color theme="1"/>
      <sz val="11"/>
      <scheme val="minor"/>
    </font>
    <font>
      <name val="Calibri"/>
      <b val="1"/>
      <color rgb="00111214"/>
      <sz val="16"/>
    </font>
    <font>
      <name val="Calibri"/>
      <i val="1"/>
      <color rgb="005C6066"/>
      <sz val="10"/>
    </font>
    <font>
      <name val="Calibri"/>
      <b val="1"/>
      <color rgb="00111214"/>
      <sz val="10"/>
    </font>
    <font>
      <name val="Calibri"/>
      <b val="1"/>
      <color rgb="00111214"/>
      <sz val="12"/>
    </font>
    <font>
      <name val="Calibri"/>
      <color rgb="00111214"/>
      <sz val="10"/>
    </font>
    <font>
      <name val="Calibri"/>
      <color rgb="005C6066"/>
      <sz val="9"/>
    </font>
    <font>
      <name val="Calibri"/>
      <b val="1"/>
      <color rgb="00FFFFFF"/>
      <sz val="10"/>
    </font>
    <font>
      <name val="Calibri"/>
      <color rgb="003A3D42"/>
      <sz val="10"/>
    </font>
    <font>
      <name val="Calibri"/>
      <b val="1"/>
      <color rgb="00111214"/>
      <sz val="11"/>
    </font>
    <font>
      <name val="Calibri"/>
      <b val="1"/>
      <color rgb="00111214"/>
      <sz val="13"/>
    </font>
    <font>
      <name val="Calibri"/>
      <b val="1"/>
      <color rgb="00111214"/>
      <sz val="22"/>
    </font>
    <font>
      <name val="Calibri"/>
      <i val="1"/>
      <color rgb="005C6066"/>
      <sz val="9"/>
    </font>
  </fonts>
  <fills count="6">
    <fill>
      <patternFill/>
    </fill>
    <fill>
      <patternFill patternType="gray125"/>
    </fill>
    <fill>
      <patternFill patternType="solid">
        <fgColor rgb="00FFD100"/>
      </patternFill>
    </fill>
    <fill>
      <patternFill patternType="solid">
        <fgColor rgb="00F3F4F6"/>
      </patternFill>
    </fill>
    <fill>
      <patternFill patternType="solid">
        <fgColor rgb="00111214"/>
      </patternFill>
    </fill>
    <fill>
      <patternFill patternType="solid">
        <fgColor rgb="00FFF6CC"/>
      </patternFill>
    </fill>
  </fills>
  <borders count="10">
    <border>
      <left/>
      <right/>
      <top/>
      <bottom/>
      <diagonal/>
    </border>
    <border>
      <bottom style="thick">
        <color rgb="00FFD100"/>
      </bottom>
    </border>
    <border>
      <left style="thin">
        <color rgb="00C9CCD1"/>
      </left>
      <right style="thin">
        <color rgb="00C9CCD1"/>
      </right>
      <top style="thin">
        <color rgb="00C9CCD1"/>
      </top>
      <bottom style="thin">
        <color rgb="00C9CCD1"/>
      </bottom>
    </border>
    <border>
      <bottom style="medium">
        <color rgb="00FFD100"/>
      </bottom>
    </border>
    <border>
      <left style="thin">
        <color rgb="00C9CCD1"/>
      </left>
      <right style="thin">
        <color rgb="00C9CCD1"/>
      </right>
      <top style="thin">
        <color rgb="00C9CCD1"/>
      </top>
      <bottom style="thick">
        <color rgb="00FFD100"/>
      </bottom>
    </border>
    <border>
      <left/>
      <right/>
      <top style="thin">
        <color rgb="00C9CCD1"/>
      </top>
      <bottom/>
      <diagonal/>
    </border>
    <border>
      <left/>
      <right style="thin">
        <color rgb="00C9CCD1"/>
      </right>
      <top style="thin">
        <color rgb="00C9CCD1"/>
      </top>
      <bottom/>
      <diagonal/>
    </border>
    <border>
      <left/>
      <right style="thin">
        <color rgb="00C9CCD1"/>
      </right>
      <top style="thin">
        <color rgb="00C9CCD1"/>
      </top>
      <bottom style="thin">
        <color rgb="00C9CCD1"/>
      </bottom>
      <diagonal/>
    </border>
    <border>
      <left/>
      <right/>
      <top style="thin">
        <color rgb="00C9CCD1"/>
      </top>
      <bottom style="thin">
        <color rgb="00C9CCD1"/>
      </bottom>
      <diagonal/>
    </border>
    <border/>
  </borders>
  <cellStyleXfs count="1">
    <xf numFmtId="0" fontId="0" fillId="0" borderId="0"/>
  </cellStyleXfs>
  <cellXfs count="49">
    <xf numFmtId="0" fontId="0" fillId="0" borderId="0" pivotButton="0" quotePrefix="0" xfId="0"/>
    <xf numFmtId="0" fontId="1" fillId="0" borderId="1" pivotButton="0" quotePrefix="0" xfId="0"/>
    <xf numFmtId="0" fontId="2" fillId="0" borderId="0" pivotButton="0" quotePrefix="0" xfId="0"/>
    <xf numFmtId="0" fontId="3" fillId="2" borderId="2" applyAlignment="1" pivotButton="0" quotePrefix="0" xfId="0">
      <alignment vertical="top" wrapText="1"/>
    </xf>
    <xf numFmtId="0" fontId="4" fillId="0" borderId="3" applyAlignment="1" pivotButton="0" quotePrefix="0" xfId="0">
      <alignment vertical="top" wrapText="1"/>
    </xf>
    <xf numFmtId="0" fontId="3" fillId="0" borderId="0" applyAlignment="1" pivotButton="0" quotePrefix="0" xfId="0">
      <alignment vertical="top" wrapText="1"/>
    </xf>
    <xf numFmtId="0" fontId="5" fillId="0" borderId="0" applyAlignment="1" pivotButton="0" quotePrefix="0" xfId="0">
      <alignment vertical="top" wrapText="1"/>
    </xf>
    <xf numFmtId="0" fontId="3" fillId="0" borderId="0" applyAlignment="1" pivotButton="0" quotePrefix="0" xfId="0">
      <alignment horizontal="right" vertical="top"/>
    </xf>
    <xf numFmtId="0" fontId="3" fillId="3" borderId="2" applyAlignment="1" pivotButton="0" quotePrefix="0" xfId="0">
      <alignment vertical="top" wrapText="1"/>
    </xf>
    <xf numFmtId="0" fontId="6" fillId="0" borderId="0" applyAlignment="1" pivotButton="0" quotePrefix="0" xfId="0">
      <alignment vertical="top" wrapText="1"/>
    </xf>
    <xf numFmtId="0" fontId="7" fillId="4" borderId="2" applyAlignment="1" pivotButton="0" quotePrefix="0" xfId="0">
      <alignment vertical="center" wrapText="1"/>
    </xf>
    <xf numFmtId="0" fontId="8" fillId="0" borderId="2" applyAlignment="1" pivotButton="0" quotePrefix="0" xfId="0">
      <alignment vertical="top" wrapText="1"/>
    </xf>
    <xf numFmtId="0" fontId="3" fillId="0" borderId="2" applyAlignment="1" pivotButton="0" quotePrefix="0" xfId="0">
      <alignment vertical="top" wrapText="1"/>
    </xf>
    <xf numFmtId="0" fontId="5" fillId="0" borderId="2" applyAlignment="1" pivotButton="0" quotePrefix="0" xfId="0">
      <alignment vertical="top" wrapText="1"/>
    </xf>
    <xf numFmtId="0" fontId="5" fillId="5" borderId="2" applyAlignment="1" applyProtection="1" pivotButton="0" quotePrefix="0" xfId="0">
      <alignment vertical="top" wrapText="1"/>
      <protection locked="0" hidden="0"/>
    </xf>
    <xf numFmtId="164" fontId="5" fillId="5" borderId="2" applyAlignment="1" applyProtection="1" pivotButton="0" quotePrefix="0" xfId="0">
      <alignment horizontal="right" vertical="top" wrapText="1"/>
      <protection locked="0" hidden="0"/>
    </xf>
    <xf numFmtId="165" fontId="5" fillId="5" borderId="2" applyAlignment="1" applyProtection="1" pivotButton="0" quotePrefix="0" xfId="0">
      <alignment vertical="top" wrapText="1"/>
      <protection locked="0" hidden="0"/>
    </xf>
    <xf numFmtId="165" fontId="8" fillId="0" borderId="2" applyAlignment="1" pivotButton="0" quotePrefix="0" xfId="0">
      <alignment vertical="top" wrapText="1"/>
    </xf>
    <xf numFmtId="0" fontId="3" fillId="0" borderId="2" applyAlignment="1" pivotButton="0" quotePrefix="0" xfId="0">
      <alignment horizontal="right"/>
    </xf>
    <xf numFmtId="165" fontId="3" fillId="0" borderId="2" applyAlignment="1" pivotButton="0" quotePrefix="0" xfId="0">
      <alignment vertical="top" wrapText="1"/>
    </xf>
    <xf numFmtId="9" fontId="5" fillId="5" borderId="2" applyAlignment="1" applyProtection="1" pivotButton="0" quotePrefix="0" xfId="0">
      <alignment vertical="top" wrapText="1"/>
      <protection locked="0" hidden="0"/>
    </xf>
    <xf numFmtId="0" fontId="9" fillId="0" borderId="2" applyAlignment="1" pivotButton="0" quotePrefix="0" xfId="0">
      <alignment horizontal="right"/>
    </xf>
    <xf numFmtId="165" fontId="4" fillId="0" borderId="4" applyAlignment="1" pivotButton="0" quotePrefix="0" xfId="0">
      <alignment vertical="top" wrapText="1"/>
    </xf>
    <xf numFmtId="0" fontId="0" fillId="0" borderId="7" pivotButton="0" quotePrefix="0" xfId="0"/>
    <xf numFmtId="0" fontId="7" fillId="4" borderId="2" applyAlignment="1" pivotButton="0" quotePrefix="0" xfId="0">
      <alignment vertical="center"/>
    </xf>
    <xf numFmtId="0" fontId="7" fillId="4" borderId="2" applyAlignment="1" pivotButton="0" quotePrefix="0" xfId="0">
      <alignment vertical="top" wrapText="1"/>
    </xf>
    <xf numFmtId="165" fontId="11" fillId="0" borderId="4" applyAlignment="1" pivotButton="0" quotePrefix="0" xfId="0">
      <alignment horizontal="left" vertical="center"/>
    </xf>
    <xf numFmtId="0" fontId="0" fillId="0" borderId="4" pivotButton="0" quotePrefix="0" xfId="0"/>
    <xf numFmtId="165" fontId="10" fillId="0" borderId="2" applyAlignment="1" pivotButton="0" quotePrefix="0" xfId="0">
      <alignment horizontal="left" vertical="center"/>
    </xf>
    <xf numFmtId="9" fontId="10" fillId="0" borderId="2" applyAlignment="1" pivotButton="0" quotePrefix="0" xfId="0">
      <alignment horizontal="left" vertical="center"/>
    </xf>
    <xf numFmtId="1" fontId="8" fillId="0" borderId="2" applyAlignment="1" pivotButton="0" quotePrefix="0" xfId="0">
      <alignment vertical="top" wrapText="1"/>
    </xf>
    <xf numFmtId="0" fontId="9" fillId="0" borderId="2" applyAlignment="1" pivotButton="0" quotePrefix="0" xfId="0">
      <alignment vertical="top" wrapText="1"/>
    </xf>
    <xf numFmtId="0" fontId="3" fillId="3" borderId="2" applyAlignment="1" pivotButton="0" quotePrefix="0" xfId="0">
      <alignment horizontal="right"/>
    </xf>
    <xf numFmtId="165" fontId="3" fillId="3" borderId="2" applyAlignment="1" pivotButton="0" quotePrefix="0" xfId="0">
      <alignment vertical="top" wrapText="1"/>
    </xf>
    <xf numFmtId="0" fontId="5" fillId="3" borderId="2" applyAlignment="1" pivotButton="0" quotePrefix="0" xfId="0">
      <alignment vertical="top" wrapText="1"/>
    </xf>
    <xf numFmtId="0" fontId="0" fillId="0" borderId="8" pivotButton="0" quotePrefix="0" xfId="0"/>
    <xf numFmtId="166" fontId="8" fillId="0" borderId="2" applyAlignment="1" pivotButton="0" quotePrefix="0" xfId="0">
      <alignment vertical="top" wrapText="1"/>
    </xf>
    <xf numFmtId="0" fontId="12" fillId="0" borderId="9" applyAlignment="1" pivotButton="0" quotePrefix="0" xfId="0">
      <alignment vertical="top" wrapText="1"/>
    </xf>
    <xf numFmtId="0" fontId="6" fillId="0" borderId="0" pivotButton="0" quotePrefix="0" xfId="0"/>
    <xf numFmtId="167" fontId="5" fillId="5" borderId="2" applyAlignment="1" applyProtection="1" pivotButton="0" quotePrefix="0" xfId="0">
      <alignment vertical="top" wrapText="1"/>
      <protection locked="0" hidden="0"/>
    </xf>
    <xf numFmtId="164" fontId="5" fillId="5" borderId="2" applyAlignment="1" applyProtection="1" pivotButton="0" quotePrefix="0" xfId="0">
      <alignment vertical="top" wrapText="1"/>
      <protection locked="0" hidden="0"/>
    </xf>
    <xf numFmtId="0" fontId="5" fillId="5" borderId="2" applyAlignment="1" applyProtection="1" pivotButton="0" quotePrefix="0" xfId="0">
      <alignment horizontal="center" vertical="top" wrapText="1"/>
      <protection locked="0" hidden="0"/>
    </xf>
    <xf numFmtId="9" fontId="8" fillId="0" borderId="2" applyAlignment="1" pivotButton="0" quotePrefix="0" xfId="0">
      <alignment vertical="top" wrapText="1"/>
    </xf>
    <xf numFmtId="168" fontId="8" fillId="0" borderId="2" applyAlignment="1" pivotButton="0" quotePrefix="0" xfId="0">
      <alignment vertical="top" wrapText="1"/>
    </xf>
    <xf numFmtId="0" fontId="8" fillId="3" borderId="2" applyAlignment="1" pivotButton="0" quotePrefix="0" xfId="0">
      <alignment vertical="top" wrapText="1"/>
    </xf>
    <xf numFmtId="9" fontId="3" fillId="3" borderId="2" applyAlignment="1" pivotButton="0" quotePrefix="0" xfId="0">
      <alignment vertical="top" wrapText="1"/>
    </xf>
    <xf numFmtId="0" fontId="4" fillId="0" borderId="3" applyAlignment="1" pivotButton="0" quotePrefix="0" xfId="0">
      <alignment vertical="bottom"/>
    </xf>
    <xf numFmtId="0" fontId="3" fillId="0" borderId="0" applyAlignment="1" pivotButton="0" quotePrefix="0" xfId="0">
      <alignment vertical="bottom"/>
    </xf>
    <xf numFmtId="0" fontId="9" fillId="0" borderId="2" applyAlignment="1" pivotButton="0" quotePrefix="0" xfId="0">
      <alignment vertical="center" wrapText="1"/>
    </xf>
  </cellXfs>
  <cellStyles count="1">
    <cellStyle name="Normal" xfId="0" builtinId="0" hidden="0"/>
  </cellStyles>
  <dxfs count="2">
    <dxf>
      <font>
        <b val="1"/>
        <color rgb="009B1C1C"/>
      </font>
      <fill>
        <patternFill patternType="solid">
          <fgColor rgb="00F8D7DA"/>
        </patternFill>
      </fill>
    </dxf>
    <dxf>
      <font>
        <b val="1"/>
        <color rgb="001E5A1E"/>
      </font>
      <fill>
        <patternFill patternType="solid">
          <fgColor rgb="00E3F1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9"/>
  <sheetViews>
    <sheetView showGridLines="0" workbookViewId="0">
      <selection activeCell="A1" sqref="A1"/>
    </sheetView>
  </sheetViews>
  <sheetFormatPr baseColWidth="8" defaultRowHeight="15"/>
  <cols>
    <col width="4" customWidth="1" min="1" max="1"/>
    <col width="26" customWidth="1" min="2" max="2"/>
    <col width="92" customWidth="1" min="3" max="3"/>
  </cols>
  <sheetData>
    <row r="1" ht="24" customHeight="1">
      <c r="A1" s="1" t="inlineStr">
        <is>
          <t>Constructor Cost-Control Register – Example</t>
        </is>
      </c>
    </row>
    <row r="2">
      <c r="A2" s="2" t="inlineStr">
        <is>
          <t>One spreadsheet that tells you what your home will cost in the end, and when the money has to be there.</t>
        </is>
      </c>
    </row>
    <row r="4" ht="44" customHeight="1">
      <c r="A4" s="3" t="inlineStr">
        <is>
          <t>EXAMPLE: filled in with the sample figures from Chapter 3 (a $480,000 contract, 10% contingency, the variations and PC/PS adjustments in 3.6–3.7, and the Chapter 21.5 payment schedule). The split of the contract price across elements is illustrative only; the book gives the total. Use the blank version for your own build.</t>
        </is>
      </c>
    </row>
    <row r="7">
      <c r="A7" s="4" t="inlineStr">
        <is>
          <t>What it is</t>
        </is>
      </c>
    </row>
    <row r="8" ht="60" customHeight="1">
      <c r="B8" s="5" t="inlineStr">
        <is>
          <t>The question it answers</t>
        </is>
      </c>
      <c r="C8" s="6" t="inlineStr">
        <is>
          <t>What will this home cost me in the end? The register adds up your contract price, approved variations, prime cost (PC) item and provisional sum (PS) adjustments, owner-supplied items and extras outside the contract, and compares that forecast final cost with your total budget. The difference is the contingency you have left.</t>
        </is>
      </c>
    </row>
    <row r="9" ht="45" customHeight="1">
      <c r="B9" s="5" t="inlineStr">
        <is>
          <t>Colour key</t>
        </is>
      </c>
      <c r="C9" s="6" t="inlineStr">
        <is>
          <t>Light yellow cells are for you to type in. Unshaded cells are calculated: leave them alone. A few yellow cells hold a starting formula (for example, quantity × rate); type over them with your own figure if you need to.</t>
        </is>
      </c>
    </row>
    <row r="10" ht="30" customHeight="1">
      <c r="B10" s="5" t="inlineStr">
        <is>
          <t>Amounts</t>
        </is>
      </c>
      <c r="C10" s="6" t="inlineStr">
        <is>
          <t>Keep every amount GST-inclusive, as your contract price is. Negative amounts are credits (for example, a PS that comes in under its allowance).</t>
        </is>
      </c>
    </row>
    <row r="12">
      <c r="A12" s="4" t="inlineStr">
        <is>
          <t>The sheets</t>
        </is>
      </c>
    </row>
    <row r="13" ht="75" customHeight="1">
      <c r="B13" s="5" t="inlineStr">
        <is>
          <t>Cost plan (3.3, 3.5)</t>
        </is>
      </c>
      <c r="C13" s="6" t="inlineStr">
        <is>
          <t>Your elemental estimate. One row per element of the house, then one row for each PC item and PS in your contract. Enter your own estimate and the builder's price for each; the difference shows where the gaps are. Set the group for each row (in the contract, owner-supplied, or outside the contract). Set your contingency percentage (the book suggests at least 10% of the contract price, more where the risk is higher). The total is your starting budget.</t>
        </is>
      </c>
    </row>
    <row r="14" ht="75" customHeight="1">
      <c r="B14" s="5" t="inlineStr">
        <is>
          <t>Register (3.6)</t>
        </is>
      </c>
      <c r="C14" s="6" t="inlineStr">
        <is>
          <t>One row per element, PC item and PS, filled from the Cost plan and the Log. It shows budget, contract amount, approved variations, PC/PS adjustments, what is spent or committed, what is quoted but not yet agreed, and your forecast final cost and over/under budget for each line. Use the yellow "Still to come" column for anything you expect but have not logged yet. The summary at the bottom is the same table as the book's example register.</t>
        </is>
      </c>
    </row>
    <row r="15" ht="60" customHeight="1">
      <c r="B15" s="5" t="inlineStr">
        <is>
          <t>Log (3.6–3.7)</t>
        </is>
      </c>
      <c r="C15" s="6" t="inlineStr">
        <is>
          <t>Every priced change, one row each: reference (V01, PS-01, PC-01…), date, register line, type, description, amount (+/−), status and evidence. Quoted counts as pending in the forecast; Agreed, Signed, Invoiced and Paid count as committed; Rejected is ignored. Use the types Owner-supplied and Extra outside contract for things you buy or contract yourself.</t>
        </is>
      </c>
    </row>
    <row r="16" ht="45" customHeight="1">
      <c r="B16" s="5" t="inlineStr">
        <is>
          <t>Allowances (3.7)</t>
        </is>
      </c>
      <c r="C16" s="6" t="inlineStr">
        <is>
          <t>Tracks each PC item and PS until it is closed: allowance, your selection or actual cost, the builder's margin on any overrun, and the adjustment (credits for under-runs carry no margin). Copy each adjustment into the Log; the check column tells you if the Log does not match.</t>
        </is>
      </c>
    </row>
    <row r="17" ht="60" customHeight="1">
      <c r="B17" s="5" t="inlineStr">
        <is>
          <t>Progress claims (3.9)</t>
        </is>
      </c>
      <c r="C17" s="6" t="inlineStr">
        <is>
          <t>The six stages of your payment schedule with the contract percentages (editable; the example schedule from Chapter 21.5 is filled in). Record each claim, whether you checked it, and what you paid. The sheet does the one-line reconciliation and warns you in red if claims or payments run ahead of the stage actually reached.</t>
        </is>
      </c>
    </row>
    <row r="18" ht="60" customHeight="1">
      <c r="B18" s="5" t="inlineStr">
        <is>
          <t>Cash flow (3.8)</t>
        </is>
      </c>
      <c r="C18" s="6" t="inlineStr">
        <is>
          <t>Month by month: each contract claim, other payments due, interest and rent, and how much comes from the loan and how much from your cash. Your money goes first: enter the loan amount and the sheet spends your share of the contract price before drawing on the loan. Variations, adjustments and extras are treated as cash. It warns you if your cash drops below the buffer you set.</t>
        </is>
      </c>
    </row>
    <row r="20">
      <c r="A20" s="4" t="inlineStr">
        <is>
          <t>The order to fill it in</t>
        </is>
      </c>
    </row>
    <row r="21" ht="45" customHeight="1">
      <c r="B21" s="5" t="inlineStr">
        <is>
          <t>Step 1</t>
        </is>
      </c>
      <c r="C21" s="6" t="inlineStr">
        <is>
          <t>Before you sign: fill in the Cost plan from the builder's estimate (ask for it by element or trade) and your own quotes for the items outside the contract. List every PC item and PS with your own estimate beside each.</t>
        </is>
      </c>
    </row>
    <row r="22" ht="16" customHeight="1">
      <c r="B22" s="5" t="inlineStr">
        <is>
          <t>Step 2</t>
        </is>
      </c>
      <c r="C22" s="6" t="inlineStr">
        <is>
          <t>Set your contingency percentage on the Cost plan. Check the starting budget against what you can afford.</t>
        </is>
      </c>
    </row>
    <row r="23" ht="30" customHeight="1">
      <c r="B23" s="5" t="inlineStr">
        <is>
          <t>Step 3</t>
        </is>
      </c>
      <c r="C23" s="6" t="inlineStr">
        <is>
          <t>Enter the loan amount, your cash and a buffer on the Cash flow sheet, and the dates you expect each stage.</t>
        </is>
      </c>
    </row>
    <row r="24" ht="30" customHeight="1">
      <c r="B24" s="5" t="inlineStr">
        <is>
          <t>Step 4</t>
        </is>
      </c>
      <c r="C24" s="6" t="inlineStr">
        <is>
          <t>Every time you agree to anything with a price, add it to the Log and check the forecast final cost on the Register before you sign.</t>
        </is>
      </c>
    </row>
    <row r="25" ht="16" customHeight="1">
      <c r="B25" s="5" t="inlineStr">
        <is>
          <t>Step 5</t>
        </is>
      </c>
      <c r="C25" s="6" t="inlineStr">
        <is>
          <t>Close each PC item at selection on the Allowances sheet and copy the adjustment into the Log.</t>
        </is>
      </c>
    </row>
    <row r="26" ht="30" customHeight="1">
      <c r="B26" s="5" t="inlineStr">
        <is>
          <t>Step 6</t>
        </is>
      </c>
      <c r="C26" s="6" t="inlineStr">
        <is>
          <t>Before every progress payment, fill in the claim on the Progress claims sheet, read the reconciliation and the warning, and update the Log and the Cash flow.</t>
        </is>
      </c>
    </row>
    <row r="27" ht="30" customHeight="1">
      <c r="B27" s="5" t="inlineStr">
        <is>
          <t>Step 7</t>
        </is>
      </c>
      <c r="C27" s="6" t="inlineStr">
        <is>
          <t>At practical completion, do the full reconciliation and agree it in writing before you pay. After handover, record your actual final cost and keep the register with your home records.</t>
        </is>
      </c>
    </row>
    <row r="29">
      <c r="A29" s="4" t="inlineStr">
        <is>
          <t>Warning signs of cost drift (3.10)</t>
        </is>
      </c>
    </row>
    <row r="30">
      <c r="B30" s="7" t="inlineStr">
        <is>
          <t>•</t>
        </is>
      </c>
      <c r="C30" s="6" t="inlineStr">
        <is>
          <t>Forecast final cost rising every month, even by small amounts.</t>
        </is>
      </c>
    </row>
    <row r="31">
      <c r="B31" s="7" t="inlineStr">
        <is>
          <t>•</t>
        </is>
      </c>
      <c r="C31" s="6" t="inlineStr">
        <is>
          <t>Contingency spent faster than the build progresses. Half the contingency gone at base stage is a red flag.</t>
        </is>
      </c>
    </row>
    <row r="32">
      <c r="B32" s="7" t="inlineStr">
        <is>
          <t>•</t>
        </is>
      </c>
      <c r="C32" s="6" t="inlineStr">
        <is>
          <t>Many small variations, upgrades creeping in at selections, or variations for things the builder should have foreseen.</t>
        </is>
      </c>
    </row>
    <row r="33">
      <c r="B33" s="7" t="inlineStr">
        <is>
          <t>•</t>
        </is>
      </c>
      <c r="C33" s="6" t="inlineStr">
        <is>
          <t>PS items with no evidence, or adjustments arriving as round numbers.</t>
        </is>
      </c>
    </row>
    <row r="34">
      <c r="B34" s="7" t="inlineStr">
        <is>
          <t>•</t>
        </is>
      </c>
      <c r="C34" s="6" t="inlineStr">
        <is>
          <t>"We'll sort the paperwork later": unpriced verbal changes, or quotes for your own extras that keep growing.</t>
        </is>
      </c>
    </row>
    <row r="35">
      <c r="B35" s="7" t="inlineStr">
        <is>
          <t>•</t>
        </is>
      </c>
      <c r="C35" s="6" t="inlineStr">
        <is>
          <t>Delays: every extra week costs rent and interest, even if the contract price has not changed.</t>
        </is>
      </c>
    </row>
    <row r="36">
      <c r="B36" s="7" t="inlineStr">
        <is>
          <t>•</t>
        </is>
      </c>
      <c r="C36" s="6" t="inlineStr">
        <is>
          <t>If a first home grant value cap applies to you, variations can count towards it. Check your total before every variation.</t>
        </is>
      </c>
    </row>
    <row r="38" ht="30" customHeight="1">
      <c r="A38" s="8" t="inlineStr">
        <is>
          <t>General information only, not financial advice. Check every figure against your own contract, quotes and loan documents, and get advice where you need it.</t>
        </is>
      </c>
    </row>
    <row r="39">
      <c r="A39" s="9" t="inlineStr">
        <is>
          <t>From Chapter 3 of The Home Owner's Guide to Building Without Regret · constructor.net.au/book-resources</t>
        </is>
      </c>
    </row>
  </sheetData>
  <mergeCells count="7">
    <mergeCell ref="A7:C7"/>
    <mergeCell ref="A39:C39"/>
    <mergeCell ref="A12:C12"/>
    <mergeCell ref="A4:C4"/>
    <mergeCell ref="A20:C20"/>
    <mergeCell ref="A38:C38"/>
    <mergeCell ref="A29:C29"/>
  </mergeCell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5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42" customWidth="1" min="3" max="3"/>
    <col width="22" customWidth="1" min="4" max="4"/>
    <col width="20" customWidth="1" min="5" max="5"/>
    <col width="15" customWidth="1" min="6" max="6"/>
    <col width="11" customWidth="1" min="7" max="7"/>
    <col width="10" customWidth="1" min="8" max="8"/>
    <col width="13" customWidth="1" min="9" max="9"/>
    <col width="13" customWidth="1" min="10" max="10"/>
    <col width="13" customWidth="1" min="11" max="11"/>
    <col width="13" customWidth="1" min="12" max="12"/>
    <col width="30" customWidth="1" min="13" max="13"/>
  </cols>
  <sheetData>
    <row r="1" ht="24" customHeight="1">
      <c r="A1" s="1" t="inlineStr">
        <is>
          <t>Cost plan: your elemental estimate</t>
        </is>
      </c>
    </row>
    <row r="2">
      <c r="A2" s="2" t="inlineStr">
        <is>
          <t>Chapter 3.3. One figure per element, good enough to spot a gap. Mark every PC item and PS with the allowance and your own estimate.</t>
        </is>
      </c>
    </row>
    <row r="4" ht="32" customHeight="1">
      <c r="A4" s="10" t="inlineStr">
        <is>
          <t>#</t>
        </is>
      </c>
      <c r="B4" s="10" t="inlineStr">
        <is>
          <t>Element / item</t>
        </is>
      </c>
      <c r="C4" s="10" t="inlineStr">
        <is>
          <t>What it includes</t>
        </is>
      </c>
      <c r="D4" s="10" t="inlineStr">
        <is>
          <t>Who prices it</t>
        </is>
      </c>
      <c r="E4" s="10" t="inlineStr">
        <is>
          <t>Risk</t>
        </is>
      </c>
      <c r="F4" s="10" t="inlineStr">
        <is>
          <t>Group</t>
        </is>
      </c>
      <c r="G4" s="10" t="inlineStr">
        <is>
          <t>Quantity / basis</t>
        </is>
      </c>
      <c r="H4" s="10" t="inlineStr">
        <is>
          <t>Rate</t>
        </is>
      </c>
      <c r="I4" s="10" t="inlineStr">
        <is>
          <t>Your estimate</t>
        </is>
      </c>
      <c r="J4" s="10" t="inlineStr">
        <is>
          <t>Builder's price</t>
        </is>
      </c>
      <c r="K4" s="10" t="inlineStr">
        <is>
          <t>Difference (builder − yours)</t>
        </is>
      </c>
      <c r="L4" s="10" t="inlineStr">
        <is>
          <t>Budget used in register</t>
        </is>
      </c>
      <c r="M4" s="10" t="inlineStr">
        <is>
          <t>Notes</t>
        </is>
      </c>
    </row>
    <row r="5">
      <c r="A5" s="8" t="inlineStr">
        <is>
          <t>Elements of the house (3.3)</t>
        </is>
      </c>
    </row>
    <row r="6" ht="42" customHeight="1">
      <c r="A6" s="11" t="inlineStr">
        <is>
          <t>E01</t>
        </is>
      </c>
      <c r="B6" s="12" t="inlineStr">
        <is>
          <t>Preliminaries</t>
        </is>
      </c>
      <c r="C6" s="13" t="inlineStr">
        <is>
          <t>Site establishment, temporary fencing, toilet, power, skip bins, scaffolding, supervision, insurance, home warranty premium</t>
        </is>
      </c>
      <c r="D6" s="13" t="inlineStr">
        <is>
          <t>Builder (usually inside the contract price)</t>
        </is>
      </c>
      <c r="E6" s="13" t="inlineStr">
        <is>
          <t>Low on a fixed-price contract</t>
        </is>
      </c>
      <c r="F6" s="14" t="inlineStr">
        <is>
          <t>In contract</t>
        </is>
      </c>
      <c r="G6" s="15" t="inlineStr">
        <is>
          <t>Lump sum</t>
        </is>
      </c>
      <c r="H6" s="16" t="n"/>
      <c r="I6" s="16" t="n">
        <v>36000</v>
      </c>
      <c r="J6" s="16" t="n">
        <v>38000</v>
      </c>
      <c r="K6" s="17">
        <f>IF(AND(ISNUMBER(I6),ISNUMBER(J6)),J6-I6,"")</f>
        <v/>
      </c>
      <c r="L6" s="17">
        <f>IF(ISNUMBER(J6),J6,IF(ISNUMBER(I6),I6,""))</f>
        <v/>
      </c>
      <c r="M6" s="14" t="n"/>
    </row>
    <row r="7" ht="42" customHeight="1">
      <c r="A7" s="11" t="inlineStr">
        <is>
          <t>E02</t>
        </is>
      </c>
      <c r="B7" s="12" t="inlineStr">
        <is>
          <t>Approvals and consultants</t>
        </is>
      </c>
      <c r="C7" s="13" t="inlineStr">
        <is>
          <t>Certifier, engineer, energy assessment, soil test, survey, council and plumbing fees</t>
        </is>
      </c>
      <c r="D7" s="13" t="inlineStr">
        <is>
          <t>Builder or you (check the PSA)</t>
        </is>
      </c>
      <c r="E7" s="13" t="inlineStr">
        <is>
          <t>Low to medium</t>
        </is>
      </c>
      <c r="F7" s="14" t="inlineStr">
        <is>
          <t>In contract</t>
        </is>
      </c>
      <c r="G7" s="15" t="inlineStr">
        <is>
          <t>Lump sum</t>
        </is>
      </c>
      <c r="H7" s="16" t="n"/>
      <c r="I7" s="16" t="n">
        <v>12500</v>
      </c>
      <c r="J7" s="16" t="n">
        <v>12000</v>
      </c>
      <c r="K7" s="17">
        <f>IF(AND(ISNUMBER(I7),ISNUMBER(J7)),J7-I7,"")</f>
        <v/>
      </c>
      <c r="L7" s="17">
        <f>IF(ISNUMBER(J7),J7,IF(ISNUMBER(I7),I7,""))</f>
        <v/>
      </c>
      <c r="M7" s="14" t="n"/>
    </row>
    <row r="8" ht="42" customHeight="1">
      <c r="A8" s="11" t="inlineStr">
        <is>
          <t>E03</t>
        </is>
      </c>
      <c r="B8" s="12" t="inlineStr">
        <is>
          <t>Site works</t>
        </is>
      </c>
      <c r="C8" s="13" t="inlineStr">
        <is>
          <t>Clearing, cut and fill, rock, retaining, piers, site drainage</t>
        </is>
      </c>
      <c r="D8" s="13" t="inlineStr">
        <is>
          <t>Builder, often as a PS</t>
        </is>
      </c>
      <c r="E8" s="13" t="inlineStr">
        <is>
          <t>High. The ground is the biggest unknown</t>
        </is>
      </c>
      <c r="F8" s="14" t="inlineStr">
        <is>
          <t>In contract</t>
        </is>
      </c>
      <c r="G8" s="15" t="inlineStr">
        <is>
          <t>Lump sum</t>
        </is>
      </c>
      <c r="H8" s="16" t="n"/>
      <c r="I8" s="16" t="n">
        <v>15000</v>
      </c>
      <c r="J8" s="16" t="n">
        <v>14000</v>
      </c>
      <c r="K8" s="17">
        <f>IF(AND(ISNUMBER(I8),ISNUMBER(J8)),J8-I8,"")</f>
        <v/>
      </c>
      <c r="L8" s="17">
        <f>IF(ISNUMBER(J8),J8,IF(ISNUMBER(I8),I8,""))</f>
        <v/>
      </c>
      <c r="M8" s="14" t="inlineStr">
        <is>
          <t>Rock excavation carried as PS-01</t>
        </is>
      </c>
    </row>
    <row r="9" ht="42" customHeight="1">
      <c r="A9" s="11" t="inlineStr">
        <is>
          <t>E04</t>
        </is>
      </c>
      <c r="B9" s="12" t="inlineStr">
        <is>
          <t>Substructure</t>
        </is>
      </c>
      <c r="C9" s="13" t="inlineStr">
        <is>
          <t>Slab or footings, termite management, under-slab plumbing</t>
        </is>
      </c>
      <c r="D9" s="13" t="inlineStr">
        <is>
          <t>Builder</t>
        </is>
      </c>
      <c r="E9" s="13" t="inlineStr">
        <is>
          <t>Medium. Depends on site class and engineering</t>
        </is>
      </c>
      <c r="F9" s="14" t="inlineStr">
        <is>
          <t>In contract</t>
        </is>
      </c>
      <c r="G9" s="15" t="inlineStr">
        <is>
          <t>Lump sum</t>
        </is>
      </c>
      <c r="H9" s="16" t="n"/>
      <c r="I9" s="16" t="n">
        <v>50000</v>
      </c>
      <c r="J9" s="16" t="n">
        <v>52000</v>
      </c>
      <c r="K9" s="17">
        <f>IF(AND(ISNUMBER(I9),ISNUMBER(J9)),J9-I9,"")</f>
        <v/>
      </c>
      <c r="L9" s="17">
        <f>IF(ISNUMBER(J9),J9,IF(ISNUMBER(I9),I9,""))</f>
        <v/>
      </c>
      <c r="M9" s="14" t="n"/>
    </row>
    <row r="10" ht="42" customHeight="1">
      <c r="A10" s="11" t="inlineStr">
        <is>
          <t>E05</t>
        </is>
      </c>
      <c r="B10" s="12" t="inlineStr">
        <is>
          <t>Frame and roof</t>
        </is>
      </c>
      <c r="C10" s="13" t="inlineStr">
        <is>
          <t>Wall and roof frames, trusses, bracing, tie-downs, roof cover, gutters</t>
        </is>
      </c>
      <c r="D10" s="13" t="inlineStr">
        <is>
          <t>Builder</t>
        </is>
      </c>
      <c r="E10" s="13" t="inlineStr">
        <is>
          <t>Low to medium</t>
        </is>
      </c>
      <c r="F10" s="14" t="inlineStr">
        <is>
          <t>In contract</t>
        </is>
      </c>
      <c r="G10" s="15" t="inlineStr">
        <is>
          <t>Lump sum</t>
        </is>
      </c>
      <c r="H10" s="16" t="n"/>
      <c r="I10" s="16" t="n">
        <v>80000</v>
      </c>
      <c r="J10" s="16" t="n">
        <v>78000</v>
      </c>
      <c r="K10" s="17">
        <f>IF(AND(ISNUMBER(I10),ISNUMBER(J10)),J10-I10,"")</f>
        <v/>
      </c>
      <c r="L10" s="17">
        <f>IF(ISNUMBER(J10),J10,IF(ISNUMBER(I10),I10,""))</f>
        <v/>
      </c>
      <c r="M10" s="14" t="n"/>
    </row>
    <row r="11" ht="42" customHeight="1">
      <c r="A11" s="11" t="inlineStr">
        <is>
          <t>E06</t>
        </is>
      </c>
      <c r="B11" s="12" t="inlineStr">
        <is>
          <t>External envelope</t>
        </is>
      </c>
      <c r="C11" s="13" t="inlineStr">
        <is>
          <t>Cladding or brickwork, windows, external doors, sarking, wall wrap, insulation</t>
        </is>
      </c>
      <c r="D11" s="13" t="inlineStr">
        <is>
          <t>Builder</t>
        </is>
      </c>
      <c r="E11" s="13" t="inlineStr">
        <is>
          <t>Low to medium</t>
        </is>
      </c>
      <c r="F11" s="14" t="inlineStr">
        <is>
          <t>In contract</t>
        </is>
      </c>
      <c r="G11" s="15" t="inlineStr">
        <is>
          <t>Lump sum</t>
        </is>
      </c>
      <c r="H11" s="16" t="n"/>
      <c r="I11" s="16" t="n">
        <v>80000</v>
      </c>
      <c r="J11" s="16" t="n">
        <v>82000</v>
      </c>
      <c r="K11" s="17">
        <f>IF(AND(ISNUMBER(I11),ISNUMBER(J11)),J11-I11,"")</f>
        <v/>
      </c>
      <c r="L11" s="17">
        <f>IF(ISNUMBER(J11),J11,IF(ISNUMBER(I11),I11,""))</f>
        <v/>
      </c>
      <c r="M11" s="14" t="n"/>
    </row>
    <row r="12" ht="42" customHeight="1">
      <c r="A12" s="11" t="inlineStr">
        <is>
          <t>E07</t>
        </is>
      </c>
      <c r="B12" s="12" t="inlineStr">
        <is>
          <t>Internal finishes</t>
        </is>
      </c>
      <c r="C12" s="13" t="inlineStr">
        <is>
          <t>Plasterboard, doors, skirting, painting, floor coverings</t>
        </is>
      </c>
      <c r="D12" s="13" t="inlineStr">
        <is>
          <t>Builder, floor coverings often PC</t>
        </is>
      </c>
      <c r="E12" s="13" t="inlineStr">
        <is>
          <t>Low to medium</t>
        </is>
      </c>
      <c r="F12" s="14" t="inlineStr">
        <is>
          <t>In contract</t>
        </is>
      </c>
      <c r="G12" s="15" t="inlineStr">
        <is>
          <t>Lump sum</t>
        </is>
      </c>
      <c r="H12" s="16" t="n"/>
      <c r="I12" s="16" t="n">
        <v>60000</v>
      </c>
      <c r="J12" s="16" t="n">
        <v>61350</v>
      </c>
      <c r="K12" s="17">
        <f>IF(AND(ISNUMBER(I12),ISNUMBER(J12)),J12-I12,"")</f>
        <v/>
      </c>
      <c r="L12" s="17">
        <f>IF(ISNUMBER(J12),J12,IF(ISNUMBER(I12),I12,""))</f>
        <v/>
      </c>
      <c r="M12" s="14" t="inlineStr">
        <is>
          <t>Floor tiles carried as PC-02</t>
        </is>
      </c>
    </row>
    <row r="13" ht="42" customHeight="1">
      <c r="A13" s="11" t="inlineStr">
        <is>
          <t>E08</t>
        </is>
      </c>
      <c r="B13" s="12" t="inlineStr">
        <is>
          <t>Kitchen, bathrooms and laundry</t>
        </is>
      </c>
      <c r="C13" s="13" t="inlineStr">
        <is>
          <t>Cabinetry, benchtops, tiles, tapware, shower screens, waterproofing</t>
        </is>
      </c>
      <c r="D13" s="13" t="inlineStr">
        <is>
          <t>Builder, often with PC items</t>
        </is>
      </c>
      <c r="E13" s="13" t="inlineStr">
        <is>
          <t>Medium to high. Selections drive it</t>
        </is>
      </c>
      <c r="F13" s="14" t="inlineStr">
        <is>
          <t>In contract</t>
        </is>
      </c>
      <c r="G13" s="15" t="inlineStr">
        <is>
          <t>Lump sum</t>
        </is>
      </c>
      <c r="H13" s="16" t="n"/>
      <c r="I13" s="16" t="n">
        <v>75000</v>
      </c>
      <c r="J13" s="16" t="n">
        <v>72000</v>
      </c>
      <c r="K13" s="17">
        <f>IF(AND(ISNUMBER(I13),ISNUMBER(J13)),J13-I13,"")</f>
        <v/>
      </c>
      <c r="L13" s="17">
        <f>IF(ISNUMBER(J13),J13,IF(ISNUMBER(I13),I13,""))</f>
        <v/>
      </c>
      <c r="M13" s="14" t="inlineStr">
        <is>
          <t>Appliances carried as PC-01</t>
        </is>
      </c>
    </row>
    <row r="14" ht="42" customHeight="1">
      <c r="A14" s="11" t="inlineStr">
        <is>
          <t>E09</t>
        </is>
      </c>
      <c r="B14" s="12" t="inlineStr">
        <is>
          <t>Services</t>
        </is>
      </c>
      <c r="C14" s="13" t="inlineStr">
        <is>
          <t>Electrical, plumbing, hot water, air conditioning, solar</t>
        </is>
      </c>
      <c r="D14" s="13" t="inlineStr">
        <is>
          <t>Builder or specialist trades</t>
        </is>
      </c>
      <c r="E14" s="13" t="inlineStr">
        <is>
          <t>Medium. Upgrades add up</t>
        </is>
      </c>
      <c r="F14" s="14" t="inlineStr">
        <is>
          <t>In contract</t>
        </is>
      </c>
      <c r="G14" s="15" t="inlineStr">
        <is>
          <t>Lump sum</t>
        </is>
      </c>
      <c r="H14" s="16" t="n"/>
      <c r="I14" s="16" t="n">
        <v>46000</v>
      </c>
      <c r="J14" s="16" t="n">
        <v>48000</v>
      </c>
      <c r="K14" s="17">
        <f>IF(AND(ISNUMBER(I14),ISNUMBER(J14)),J14-I14,"")</f>
        <v/>
      </c>
      <c r="L14" s="17">
        <f>IF(ISNUMBER(J14),J14,IF(ISNUMBER(I14),I14,""))</f>
        <v/>
      </c>
      <c r="M14" s="14" t="n"/>
    </row>
    <row r="15" ht="42" customHeight="1">
      <c r="A15" s="11" t="inlineStr">
        <is>
          <t>E10</t>
        </is>
      </c>
      <c r="B15" s="12" t="inlineStr">
        <is>
          <t>External works</t>
        </is>
      </c>
      <c r="C15" s="13" t="inlineStr">
        <is>
          <t>Driveway, paths, fencing, letterbox, clothesline, landscaping, turf</t>
        </is>
      </c>
      <c r="D15" s="13" t="inlineStr">
        <is>
          <t>Often you, outside the contract</t>
        </is>
      </c>
      <c r="E15" s="13" t="inlineStr">
        <is>
          <t>High. Easy to forget or underestimate</t>
        </is>
      </c>
      <c r="F15" s="14" t="inlineStr">
        <is>
          <t>Outside contract</t>
        </is>
      </c>
      <c r="G15" s="15" t="inlineStr">
        <is>
          <t>Lump sum</t>
        </is>
      </c>
      <c r="H15" s="16" t="n"/>
      <c r="I15" s="16" t="n">
        <v>24000</v>
      </c>
      <c r="J15" s="16" t="n"/>
      <c r="K15" s="17">
        <f>IF(AND(ISNUMBER(I15),ISNUMBER(J15)),J15-I15,"")</f>
        <v/>
      </c>
      <c r="L15" s="17">
        <f>IF(ISNUMBER(J15),J15,IF(ISNUMBER(I15),I15,""))</f>
        <v/>
      </c>
      <c r="M15" s="14" t="inlineStr">
        <is>
          <t>Driveway, paths, fencing, landscaping: get quotes now</t>
        </is>
      </c>
    </row>
    <row r="16" ht="42" customHeight="1">
      <c r="A16" s="11" t="inlineStr">
        <is>
          <t>E11</t>
        </is>
      </c>
      <c r="B16" s="12" t="inlineStr">
        <is>
          <t>Connections</t>
        </is>
      </c>
      <c r="C16" s="13" t="inlineStr">
        <is>
          <t>Electricity, water, sewer, NBN, meters</t>
        </is>
      </c>
      <c r="D16" s="13" t="inlineStr">
        <is>
          <t>Builder or you (check)</t>
        </is>
      </c>
      <c r="E16" s="13" t="inlineStr">
        <is>
          <t>Medium. Long runs cost more</t>
        </is>
      </c>
      <c r="F16" s="14" t="inlineStr">
        <is>
          <t>In contract</t>
        </is>
      </c>
      <c r="G16" s="15" t="inlineStr">
        <is>
          <t>Lump sum</t>
        </is>
      </c>
      <c r="H16" s="16" t="n"/>
      <c r="I16" s="16" t="n">
        <v>9000</v>
      </c>
      <c r="J16" s="16" t="n">
        <v>10000</v>
      </c>
      <c r="K16" s="17">
        <f>IF(AND(ISNUMBER(I16),ISNUMBER(J16)),J16-I16,"")</f>
        <v/>
      </c>
      <c r="L16" s="17">
        <f>IF(ISNUMBER(J16),J16,IF(ISNUMBER(I16),I16,""))</f>
        <v/>
      </c>
      <c r="M16" s="14" t="n"/>
    </row>
    <row r="17" ht="42" customHeight="1">
      <c r="A17" s="11" t="inlineStr">
        <is>
          <t>E12</t>
        </is>
      </c>
      <c r="B17" s="12" t="inlineStr">
        <is>
          <t>Owner-supplied items</t>
        </is>
      </c>
      <c r="C17" s="13" t="inlineStr">
        <is>
          <t>Anything you buy for the builder to install</t>
        </is>
      </c>
      <c r="D17" s="13" t="inlineStr">
        <is>
          <t>You</t>
        </is>
      </c>
      <c r="E17" s="13" t="inlineStr">
        <is>
          <t>Medium. Delivery, quantity and compliance</t>
        </is>
      </c>
      <c r="F17" s="14" t="inlineStr">
        <is>
          <t>Owner-supplied</t>
        </is>
      </c>
      <c r="G17" s="15" t="inlineStr">
        <is>
          <t>Lump sum</t>
        </is>
      </c>
      <c r="H17" s="16" t="n"/>
      <c r="I17" s="16" t="n">
        <v>3000</v>
      </c>
      <c r="J17" s="16" t="n"/>
      <c r="K17" s="17">
        <f>IF(AND(ISNUMBER(I17),ISNUMBER(J17)),J17-I17,"")</f>
        <v/>
      </c>
      <c r="L17" s="17">
        <f>IF(ISNUMBER(J17),J17,IF(ISNUMBER(I17),I17,""))</f>
        <v/>
      </c>
      <c r="M17" s="14" t="inlineStr">
        <is>
          <t>Mirrors, towel rails, accessories</t>
        </is>
      </c>
    </row>
    <row r="18" ht="42" customHeight="1">
      <c r="A18" s="11" t="inlineStr">
        <is>
          <t>E13</t>
        </is>
      </c>
      <c r="B18" s="12" t="inlineStr">
        <is>
          <t>Fit-out after handover</t>
        </is>
      </c>
      <c r="C18" s="13" t="inlineStr">
        <is>
          <t>Window coverings, flyscreens, appliances not included</t>
        </is>
      </c>
      <c r="D18" s="13" t="inlineStr">
        <is>
          <t>You</t>
        </is>
      </c>
      <c r="E18" s="13" t="inlineStr">
        <is>
          <t>Medium</t>
        </is>
      </c>
      <c r="F18" s="14" t="inlineStr">
        <is>
          <t>Outside contract</t>
        </is>
      </c>
      <c r="G18" s="15" t="inlineStr">
        <is>
          <t>Lump sum</t>
        </is>
      </c>
      <c r="H18" s="16" t="n"/>
      <c r="I18" s="16" t="n">
        <v>8000</v>
      </c>
      <c r="J18" s="16" t="n"/>
      <c r="K18" s="17">
        <f>IF(AND(ISNUMBER(I18),ISNUMBER(J18)),J18-I18,"")</f>
        <v/>
      </c>
      <c r="L18" s="17">
        <f>IF(ISNUMBER(J18),J18,IF(ISNUMBER(I18),I18,""))</f>
        <v/>
      </c>
      <c r="M18" s="14" t="inlineStr">
        <is>
          <t>Blinds and flyscreens</t>
        </is>
      </c>
    </row>
    <row r="19" ht="20" customHeight="1">
      <c r="A19" s="14" t="inlineStr">
        <is>
          <t>E14</t>
        </is>
      </c>
      <c r="B19" s="14" t="n"/>
      <c r="C19" s="14" t="n"/>
      <c r="D19" s="14" t="n"/>
      <c r="E19" s="14" t="n"/>
      <c r="F19" s="14" t="n"/>
      <c r="G19" s="15" t="n"/>
      <c r="H19" s="16" t="n"/>
      <c r="I19" s="16">
        <f>IF(AND(ISNUMBER(G19),ISNUMBER(H19)),G19*H19,"")</f>
        <v/>
      </c>
      <c r="J19" s="16" t="n"/>
      <c r="K19" s="17">
        <f>IF(AND(ISNUMBER(I19),ISNUMBER(J19)),J19-I19,"")</f>
        <v/>
      </c>
      <c r="L19" s="17">
        <f>IF(ISNUMBER(J19),J19,IF(ISNUMBER(I19),I19,""))</f>
        <v/>
      </c>
      <c r="M19" s="14" t="n"/>
    </row>
    <row r="20" ht="20" customHeight="1">
      <c r="A20" s="14" t="inlineStr">
        <is>
          <t>E15</t>
        </is>
      </c>
      <c r="B20" s="14" t="n"/>
      <c r="C20" s="14" t="n"/>
      <c r="D20" s="14" t="n"/>
      <c r="E20" s="14" t="n"/>
      <c r="F20" s="14" t="n"/>
      <c r="G20" s="15" t="n"/>
      <c r="H20" s="16" t="n"/>
      <c r="I20" s="16">
        <f>IF(AND(ISNUMBER(G20),ISNUMBER(H20)),G20*H20,"")</f>
        <v/>
      </c>
      <c r="J20" s="16" t="n"/>
      <c r="K20" s="17">
        <f>IF(AND(ISNUMBER(I20),ISNUMBER(J20)),J20-I20,"")</f>
        <v/>
      </c>
      <c r="L20" s="17">
        <f>IF(ISNUMBER(J20),J20,IF(ISNUMBER(I20),I20,""))</f>
        <v/>
      </c>
      <c r="M20" s="14" t="n"/>
    </row>
    <row r="21" ht="20" customHeight="1">
      <c r="A21" s="14" t="inlineStr">
        <is>
          <t>E16</t>
        </is>
      </c>
      <c r="B21" s="14" t="n"/>
      <c r="C21" s="14" t="n"/>
      <c r="D21" s="14" t="n"/>
      <c r="E21" s="14" t="n"/>
      <c r="F21" s="14" t="n"/>
      <c r="G21" s="15" t="n"/>
      <c r="H21" s="16" t="n"/>
      <c r="I21" s="16">
        <f>IF(AND(ISNUMBER(G21),ISNUMBER(H21)),G21*H21,"")</f>
        <v/>
      </c>
      <c r="J21" s="16" t="n"/>
      <c r="K21" s="17">
        <f>IF(AND(ISNUMBER(I21),ISNUMBER(J21)),J21-I21,"")</f>
        <v/>
      </c>
      <c r="L21" s="17">
        <f>IF(ISNUMBER(J21),J21,IF(ISNUMBER(I21),I21,""))</f>
        <v/>
      </c>
      <c r="M21" s="14" t="n"/>
    </row>
    <row r="22">
      <c r="A22" s="8" t="inlineStr">
        <is>
          <t>Allowances: prime cost (PC) items and provisional sums (PS). The allowance is the builder's price; your estimate is what you actually want (3.3, 3.7)</t>
        </is>
      </c>
    </row>
    <row r="23">
      <c r="A23" s="14" t="inlineStr">
        <is>
          <t>PC-01</t>
        </is>
      </c>
      <c r="B23" s="14" t="inlineStr">
        <is>
          <t>Kitchen appliances</t>
        </is>
      </c>
      <c r="C23" s="14" t="inlineStr">
        <is>
          <t>Oven, cooktop, rangehood, dishwasher</t>
        </is>
      </c>
      <c r="D23" s="14" t="inlineStr">
        <is>
          <t>Builder</t>
        </is>
      </c>
      <c r="E23" s="14" t="inlineStr">
        <is>
          <t>Medium to high</t>
        </is>
      </c>
      <c r="F23" s="14" t="inlineStr">
        <is>
          <t>PC item</t>
        </is>
      </c>
      <c r="G23" s="15" t="inlineStr">
        <is>
          <t>Lump sum</t>
        </is>
      </c>
      <c r="H23" s="16" t="n"/>
      <c r="I23" s="16" t="n">
        <v>5200</v>
      </c>
      <c r="J23" s="16" t="n">
        <v>4000</v>
      </c>
      <c r="K23" s="17">
        <f>IF(AND(ISNUMBER(I23),ISNUMBER(J23)),J23-I23,"")</f>
        <v/>
      </c>
      <c r="L23" s="17">
        <f>IF(ISNUMBER(J23),J23,IF(ISNUMBER(I23),I23,""))</f>
        <v/>
      </c>
      <c r="M23" s="14" t="inlineStr">
        <is>
          <t>Allowance $4,000</t>
        </is>
      </c>
    </row>
    <row r="24">
      <c r="A24" s="14" t="inlineStr">
        <is>
          <t>PC-02</t>
        </is>
      </c>
      <c r="B24" s="14" t="inlineStr">
        <is>
          <t>Floor tiles</t>
        </is>
      </c>
      <c r="C24" s="14" t="inlineStr">
        <is>
          <t>Supply of floor tiles, 90 m²</t>
        </is>
      </c>
      <c r="D24" s="14" t="inlineStr">
        <is>
          <t>Builder</t>
        </is>
      </c>
      <c r="E24" s="14" t="inlineStr">
        <is>
          <t>Medium to high</t>
        </is>
      </c>
      <c r="F24" s="14" t="inlineStr">
        <is>
          <t>PC item</t>
        </is>
      </c>
      <c r="G24" s="15" t="n">
        <v>90</v>
      </c>
      <c r="H24" s="16" t="n">
        <v>48</v>
      </c>
      <c r="I24" s="16">
        <f>IF(AND(ISNUMBER(G24),ISNUMBER(H24)),G24*H24,"")</f>
        <v/>
      </c>
      <c r="J24" s="16" t="n">
        <v>3150</v>
      </c>
      <c r="K24" s="17">
        <f>IF(AND(ISNUMBER(I24),ISNUMBER(J24)),J24-I24,"")</f>
        <v/>
      </c>
      <c r="L24" s="17">
        <f>IF(ISNUMBER(J24),J24,IF(ISNUMBER(I24),I24,""))</f>
        <v/>
      </c>
      <c r="M24" s="14" t="inlineStr">
        <is>
          <t>Allowance $35/m² × 90 m² = $3,150</t>
        </is>
      </c>
    </row>
    <row r="25">
      <c r="A25" s="14" t="inlineStr">
        <is>
          <t>PS-01</t>
        </is>
      </c>
      <c r="B25" s="14" t="inlineStr">
        <is>
          <t>Rock excavation</t>
        </is>
      </c>
      <c r="C25" s="14" t="inlineStr">
        <is>
          <t>Excavation and removal of rock</t>
        </is>
      </c>
      <c r="D25" s="14" t="inlineStr">
        <is>
          <t>Builder</t>
        </is>
      </c>
      <c r="E25" s="14" t="inlineStr">
        <is>
          <t>High</t>
        </is>
      </c>
      <c r="F25" s="14" t="inlineStr">
        <is>
          <t>PS</t>
        </is>
      </c>
      <c r="G25" s="15" t="inlineStr">
        <is>
          <t>Lump sum</t>
        </is>
      </c>
      <c r="H25" s="16" t="n"/>
      <c r="I25" s="16" t="n">
        <v>5000</v>
      </c>
      <c r="J25" s="16" t="n">
        <v>3000</v>
      </c>
      <c r="K25" s="17">
        <f>IF(AND(ISNUMBER(I25),ISNUMBER(J25)),J25-I25,"")</f>
        <v/>
      </c>
      <c r="L25" s="17">
        <f>IF(ISNUMBER(J25),J25,IF(ISNUMBER(I25),I25,""))</f>
        <v/>
      </c>
      <c r="M25" s="14" t="inlineStr">
        <is>
          <t>Allowance $3,000. High risk</t>
        </is>
      </c>
    </row>
    <row r="26">
      <c r="A26" s="14" t="inlineStr">
        <is>
          <t>PS-02</t>
        </is>
      </c>
      <c r="B26" s="14" t="inlineStr">
        <is>
          <t>Driveway crossover</t>
        </is>
      </c>
      <c r="C26" s="14" t="inlineStr">
        <is>
          <t>Council crossover to the kerb</t>
        </is>
      </c>
      <c r="D26" s="14" t="inlineStr">
        <is>
          <t>Builder</t>
        </is>
      </c>
      <c r="E26" s="14" t="inlineStr">
        <is>
          <t>High</t>
        </is>
      </c>
      <c r="F26" s="14" t="inlineStr">
        <is>
          <t>PS</t>
        </is>
      </c>
      <c r="G26" s="15" t="inlineStr">
        <is>
          <t>Lump sum</t>
        </is>
      </c>
      <c r="H26" s="16" t="n"/>
      <c r="I26" s="16" t="n">
        <v>2500</v>
      </c>
      <c r="J26" s="16" t="n">
        <v>2500</v>
      </c>
      <c r="K26" s="17">
        <f>IF(AND(ISNUMBER(I26),ISNUMBER(J26)),J26-I26,"")</f>
        <v/>
      </c>
      <c r="L26" s="17">
        <f>IF(ISNUMBER(J26),J26,IF(ISNUMBER(I26),I26,""))</f>
        <v/>
      </c>
      <c r="M26" s="14" t="inlineStr">
        <is>
          <t>Allowance $2,500</t>
        </is>
      </c>
    </row>
    <row r="27">
      <c r="A27" s="14" t="n"/>
      <c r="B27" s="14" t="n"/>
      <c r="C27" s="14" t="n"/>
      <c r="D27" s="14" t="n"/>
      <c r="E27" s="14" t="n"/>
      <c r="F27" s="14" t="n"/>
      <c r="G27" s="15" t="n"/>
      <c r="H27" s="16" t="n"/>
      <c r="I27" s="16">
        <f>IF(AND(ISNUMBER(G27),ISNUMBER(H27)),G27*H27,"")</f>
        <v/>
      </c>
      <c r="J27" s="16" t="n"/>
      <c r="K27" s="17">
        <f>IF(AND(ISNUMBER(I27),ISNUMBER(J27)),J27-I27,"")</f>
        <v/>
      </c>
      <c r="L27" s="17">
        <f>IF(ISNUMBER(J27),J27,IF(ISNUMBER(I27),I27,""))</f>
        <v/>
      </c>
      <c r="M27" s="14" t="n"/>
    </row>
    <row r="28">
      <c r="A28" s="14" t="n"/>
      <c r="B28" s="14" t="n"/>
      <c r="C28" s="14" t="n"/>
      <c r="D28" s="14" t="n"/>
      <c r="E28" s="14" t="n"/>
      <c r="F28" s="14" t="n"/>
      <c r="G28" s="15" t="n"/>
      <c r="H28" s="16" t="n"/>
      <c r="I28" s="16">
        <f>IF(AND(ISNUMBER(G28),ISNUMBER(H28)),G28*H28,"")</f>
        <v/>
      </c>
      <c r="J28" s="16" t="n"/>
      <c r="K28" s="17">
        <f>IF(AND(ISNUMBER(I28),ISNUMBER(J28)),J28-I28,"")</f>
        <v/>
      </c>
      <c r="L28" s="17">
        <f>IF(ISNUMBER(J28),J28,IF(ISNUMBER(I28),I28,""))</f>
        <v/>
      </c>
      <c r="M28" s="14" t="n"/>
    </row>
    <row r="29">
      <c r="A29" s="14" t="n"/>
      <c r="B29" s="14" t="n"/>
      <c r="C29" s="14" t="n"/>
      <c r="D29" s="14" t="n"/>
      <c r="E29" s="14" t="n"/>
      <c r="F29" s="14" t="n"/>
      <c r="G29" s="15" t="n"/>
      <c r="H29" s="16" t="n"/>
      <c r="I29" s="16">
        <f>IF(AND(ISNUMBER(G29),ISNUMBER(H29)),G29*H29,"")</f>
        <v/>
      </c>
      <c r="J29" s="16" t="n"/>
      <c r="K29" s="17">
        <f>IF(AND(ISNUMBER(I29),ISNUMBER(J29)),J29-I29,"")</f>
        <v/>
      </c>
      <c r="L29" s="17">
        <f>IF(ISNUMBER(J29),J29,IF(ISNUMBER(I29),I29,""))</f>
        <v/>
      </c>
      <c r="M29" s="14" t="n"/>
    </row>
    <row r="30">
      <c r="A30" s="14" t="n"/>
      <c r="B30" s="14" t="n"/>
      <c r="C30" s="14" t="n"/>
      <c r="D30" s="14" t="n"/>
      <c r="E30" s="14" t="n"/>
      <c r="F30" s="14" t="n"/>
      <c r="G30" s="15" t="n"/>
      <c r="H30" s="16" t="n"/>
      <c r="I30" s="16">
        <f>IF(AND(ISNUMBER(G30),ISNUMBER(H30)),G30*H30,"")</f>
        <v/>
      </c>
      <c r="J30" s="16" t="n"/>
      <c r="K30" s="17">
        <f>IF(AND(ISNUMBER(I30),ISNUMBER(J30)),J30-I30,"")</f>
        <v/>
      </c>
      <c r="L30" s="17">
        <f>IF(ISNUMBER(J30),J30,IF(ISNUMBER(I30),I30,""))</f>
        <v/>
      </c>
      <c r="M30" s="14" t="n"/>
    </row>
    <row r="31">
      <c r="A31" s="14" t="n"/>
      <c r="B31" s="14" t="n"/>
      <c r="C31" s="14" t="n"/>
      <c r="D31" s="14" t="n"/>
      <c r="E31" s="14" t="n"/>
      <c r="F31" s="14" t="n"/>
      <c r="G31" s="15" t="n"/>
      <c r="H31" s="16" t="n"/>
      <c r="I31" s="16">
        <f>IF(AND(ISNUMBER(G31),ISNUMBER(H31)),G31*H31,"")</f>
        <v/>
      </c>
      <c r="J31" s="16" t="n"/>
      <c r="K31" s="17">
        <f>IF(AND(ISNUMBER(I31),ISNUMBER(J31)),J31-I31,"")</f>
        <v/>
      </c>
      <c r="L31" s="17">
        <f>IF(ISNUMBER(J31),J31,IF(ISNUMBER(I31),I31,""))</f>
        <v/>
      </c>
      <c r="M31" s="14" t="n"/>
    </row>
    <row r="32">
      <c r="A32" s="14" t="n"/>
      <c r="B32" s="14" t="n"/>
      <c r="C32" s="14" t="n"/>
      <c r="D32" s="14" t="n"/>
      <c r="E32" s="14" t="n"/>
      <c r="F32" s="14" t="n"/>
      <c r="G32" s="15" t="n"/>
      <c r="H32" s="16" t="n"/>
      <c r="I32" s="16">
        <f>IF(AND(ISNUMBER(G32),ISNUMBER(H32)),G32*H32,"")</f>
        <v/>
      </c>
      <c r="J32" s="16" t="n"/>
      <c r="K32" s="17">
        <f>IF(AND(ISNUMBER(I32),ISNUMBER(J32)),J32-I32,"")</f>
        <v/>
      </c>
      <c r="L32" s="17">
        <f>IF(ISNUMBER(J32),J32,IF(ISNUMBER(I32),I32,""))</f>
        <v/>
      </c>
      <c r="M32" s="14" t="n"/>
    </row>
    <row r="33">
      <c r="A33" s="14" t="n"/>
      <c r="B33" s="14" t="n"/>
      <c r="C33" s="14" t="n"/>
      <c r="D33" s="14" t="n"/>
      <c r="E33" s="14" t="n"/>
      <c r="F33" s="14" t="n"/>
      <c r="G33" s="15" t="n"/>
      <c r="H33" s="16" t="n"/>
      <c r="I33" s="16">
        <f>IF(AND(ISNUMBER(G33),ISNUMBER(H33)),G33*H33,"")</f>
        <v/>
      </c>
      <c r="J33" s="16" t="n"/>
      <c r="K33" s="17">
        <f>IF(AND(ISNUMBER(I33),ISNUMBER(J33)),J33-I33,"")</f>
        <v/>
      </c>
      <c r="L33" s="17">
        <f>IF(ISNUMBER(J33),J33,IF(ISNUMBER(I33),I33,""))</f>
        <v/>
      </c>
      <c r="M33" s="14" t="n"/>
    </row>
    <row r="34">
      <c r="A34" s="14" t="n"/>
      <c r="B34" s="14" t="n"/>
      <c r="C34" s="14" t="n"/>
      <c r="D34" s="14" t="n"/>
      <c r="E34" s="14" t="n"/>
      <c r="F34" s="14" t="n"/>
      <c r="G34" s="15" t="n"/>
      <c r="H34" s="16" t="n"/>
      <c r="I34" s="16">
        <f>IF(AND(ISNUMBER(G34),ISNUMBER(H34)),G34*H34,"")</f>
        <v/>
      </c>
      <c r="J34" s="16" t="n"/>
      <c r="K34" s="17">
        <f>IF(AND(ISNUMBER(I34),ISNUMBER(J34)),J34-I34,"")</f>
        <v/>
      </c>
      <c r="L34" s="17">
        <f>IF(ISNUMBER(J34),J34,IF(ISNUMBER(I34),I34,""))</f>
        <v/>
      </c>
      <c r="M34" s="14" t="n"/>
    </row>
    <row r="36">
      <c r="A36" s="18" t="inlineStr">
        <is>
          <t>Elements</t>
        </is>
      </c>
      <c r="I36" s="19">
        <f>SUM(I6:I21)</f>
        <v/>
      </c>
      <c r="J36" s="19">
        <f>SUM(J6:J21)</f>
        <v/>
      </c>
      <c r="K36" s="19">
        <f>SUM(K6:K21)</f>
        <v/>
      </c>
      <c r="L36" s="19">
        <f>SUM(L6:L21)</f>
        <v/>
      </c>
    </row>
    <row r="37">
      <c r="A37" s="18" t="inlineStr">
        <is>
          <t>PC items and PSs</t>
        </is>
      </c>
      <c r="I37" s="19">
        <f>SUM(I23:I34)</f>
        <v/>
      </c>
      <c r="J37" s="19">
        <f>SUM(J23:J34)</f>
        <v/>
      </c>
      <c r="K37" s="19">
        <f>SUM(K23:K34)</f>
        <v/>
      </c>
      <c r="L37" s="19">
        <f>SUM(L23:L34)</f>
        <v/>
      </c>
    </row>
    <row r="38">
      <c r="A38" s="18" t="inlineStr">
        <is>
          <t>Forecast costs (before contingency)</t>
        </is>
      </c>
      <c r="I38" s="19">
        <f>I36+I37</f>
        <v/>
      </c>
      <c r="J38" s="19">
        <f>J36+J37</f>
        <v/>
      </c>
      <c r="K38" s="19">
        <f>K36+K37</f>
        <v/>
      </c>
      <c r="L38" s="19">
        <f>L36+L37</f>
        <v/>
      </c>
    </row>
    <row r="39">
      <c r="A39" s="18" t="inlineStr">
        <is>
          <t>Contract price (builder's prices for rows in the contract, including PC and PS allowances)</t>
        </is>
      </c>
      <c r="L39" s="19">
        <f>SUMIFS(J6:J34,F6:F34,"In contract")+SUMIFS(J6:J34,F6:F34,"PC item")+SUMIFS(J6:J34,F6:F34,"PS")</f>
        <v/>
      </c>
    </row>
    <row r="40">
      <c r="A40" s="18" t="inlineStr">
        <is>
          <t>Contingency, as a % of the contract price (3.5: at least 10%; see the guide below)</t>
        </is>
      </c>
      <c r="L40" s="20" t="n">
        <v>0.1</v>
      </c>
    </row>
    <row r="41">
      <c r="A41" s="18" t="inlineStr">
        <is>
          <t>Contingency</t>
        </is>
      </c>
      <c r="L41" s="19">
        <f>ROUND(L39*L40,0)</f>
        <v/>
      </c>
    </row>
    <row r="42">
      <c r="A42" s="21" t="inlineStr">
        <is>
          <t>STARTING BUDGET (forecast costs + contingency)</t>
        </is>
      </c>
      <c r="L42" s="22">
        <f>L38+L41</f>
        <v/>
      </c>
    </row>
    <row r="44">
      <c r="B44" s="5" t="inlineStr">
        <is>
          <t>Contingency guide (3.5)</t>
        </is>
      </c>
    </row>
    <row r="45" ht="18" customHeight="1">
      <c r="B45" s="10" t="inlineStr">
        <is>
          <t>Your situation</t>
        </is>
      </c>
      <c r="C45" s="23" t="n"/>
      <c r="D45" s="10" t="inlineStr">
        <is>
          <t>Contingency to consider</t>
        </is>
      </c>
    </row>
    <row r="46">
      <c r="B46" s="13" t="inlineStr">
        <is>
          <t>Fixed-price project home, flat block, few allowances, selections finalised before signing</t>
        </is>
      </c>
      <c r="C46" s="13" t="n"/>
      <c r="D46" s="13" t="inlineStr">
        <is>
          <t>About 10% of the contract price</t>
        </is>
      </c>
    </row>
    <row r="47">
      <c r="B47" s="13" t="inlineStr">
        <is>
          <t>Sloping or rocky block, or large provisional sums for site works</t>
        </is>
      </c>
      <c r="C47" s="13" t="n"/>
      <c r="D47" s="13" t="inlineStr">
        <is>
          <t>10–15%</t>
        </is>
      </c>
    </row>
    <row r="48">
      <c r="B48" s="13" t="inlineStr">
        <is>
          <t>Many PC items and PSs, or selections not yet made</t>
        </is>
      </c>
      <c r="C48" s="13" t="n"/>
      <c r="D48" s="13" t="inlineStr">
        <is>
          <t>15% or more</t>
        </is>
      </c>
    </row>
    <row r="49">
      <c r="B49" s="13" t="inlineStr">
        <is>
          <t>Custom design before tender, or a cost-plus contract</t>
        </is>
      </c>
      <c r="C49" s="13" t="n"/>
      <c r="D49" s="13" t="inlineStr">
        <is>
          <t>15–20%</t>
        </is>
      </c>
    </row>
    <row r="50">
      <c r="B50" s="13" t="inlineStr">
        <is>
          <t>Owner-builder</t>
        </is>
      </c>
      <c r="C50" s="13" t="n"/>
      <c r="D50" s="13" t="inlineStr">
        <is>
          <t>Plan on the higher end</t>
        </is>
      </c>
    </row>
    <row r="52" ht="28" customHeight="1">
      <c r="B52" s="6" t="inlineStr">
        <is>
          <t>Keep contingency separate from upgrades. Release it only for the unforeseen or unavoidable, and in stages: keep most of it until the enclosed (lock-up) stage, and a final slice until after handover.</t>
        </is>
      </c>
    </row>
  </sheetData>
  <mergeCells count="16">
    <mergeCell ref="B47:C47"/>
    <mergeCell ref="B48:C48"/>
    <mergeCell ref="A5:M5"/>
    <mergeCell ref="A39:K39"/>
    <mergeCell ref="A38:H38"/>
    <mergeCell ref="A22:M22"/>
    <mergeCell ref="A41:K41"/>
    <mergeCell ref="B45:C45"/>
    <mergeCell ref="B46:C46"/>
    <mergeCell ref="A36:H36"/>
    <mergeCell ref="A42:K42"/>
    <mergeCell ref="B50:C50"/>
    <mergeCell ref="A37:H37"/>
    <mergeCell ref="B52:M52"/>
    <mergeCell ref="B49:C49"/>
    <mergeCell ref="A40:K40"/>
  </mergeCells>
  <conditionalFormatting sqref="K6:K34">
    <cfRule type="expression" priority="1" dxfId="0">
      <formula>AND(ISNUMBER(K6),ISNUMBER(I6),K6&lt;-0.1*I6)</formula>
    </cfRule>
  </conditionalFormatting>
  <dataValidations count="2">
    <dataValidation sqref="F6:F21" showDropDown="0" showInputMessage="0" showErrorMessage="0" allowBlank="1" error="Pick from the list." type="list" errorStyle="warning">
      <formula1>"In contract,Owner-supplied,Outside contract"</formula1>
    </dataValidation>
    <dataValidation sqref="F23:F34" showDropDown="0" showInputMessage="0" showErrorMessage="0" allowBlank="1" error="Pick from the list." type="list" errorStyle="warning">
      <formula1>"PC item,PS"</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3.xml><?xml version="1.0" encoding="utf-8"?>
<worksheet xmlns="http://schemas.openxmlformats.org/spreadsheetml/2006/main">
  <sheetPr>
    <tabColor rgb="00FFD100"/>
    <outlinePr summaryBelow="1" summaryRight="1"/>
    <pageSetUpPr fitToPage="1"/>
  </sheetPr>
  <dimension ref="A1:N4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7" customWidth="1" min="1" max="1"/>
    <col width="28" customWidth="1" min="2" max="2"/>
    <col width="15" customWidth="1" min="3" max="3"/>
    <col width="13" customWidth="1" min="4" max="4"/>
    <col width="13" customWidth="1" min="5" max="5"/>
    <col width="12" customWidth="1" min="6" max="6"/>
    <col width="12" customWidth="1" min="7" max="7"/>
    <col width="13" customWidth="1" min="8" max="8"/>
    <col width="14" customWidth="1" min="9" max="9"/>
    <col width="12" customWidth="1" min="10" max="10"/>
    <col width="12" customWidth="1" min="11" max="11"/>
    <col width="15" customWidth="1" min="12" max="12"/>
    <col width="13" customWidth="1" min="13" max="13"/>
    <col width="32" customWidth="1" min="14" max="14"/>
  </cols>
  <sheetData>
    <row r="1" ht="24" customHeight="1">
      <c r="A1" s="1" t="inlineStr">
        <is>
          <t>Cost-control register</t>
        </is>
      </c>
    </row>
    <row r="2">
      <c r="A2" s="2" t="inlineStr">
        <is>
          <t>Chapter 3.6. What will this home cost me in the end? Update it every time you agree to anything with a price, and before every progress payment.</t>
        </is>
      </c>
    </row>
    <row r="3">
      <c r="A3" s="24" t="inlineStr">
        <is>
          <t>Forecast final cost</t>
        </is>
      </c>
      <c r="C3" s="24" t="inlineStr">
        <is>
          <t>Total budget</t>
        </is>
      </c>
      <c r="E3" s="24" t="inlineStr">
        <is>
          <t>Contingency at contract</t>
        </is>
      </c>
      <c r="G3" s="24" t="inlineStr">
        <is>
          <t>Contingency used</t>
        </is>
      </c>
      <c r="I3" s="24" t="inlineStr">
        <is>
          <t>Contingency remaining</t>
        </is>
      </c>
      <c r="K3" s="24" t="inlineStr">
        <is>
          <t>Contingency used, %</t>
        </is>
      </c>
      <c r="N3" s="25" t="inlineStr">
        <is>
          <t>Unallocated Log rows</t>
        </is>
      </c>
    </row>
    <row r="4" ht="34" customHeight="1">
      <c r="A4" s="26">
        <f>L36</f>
        <v/>
      </c>
      <c r="B4" s="27" t="n"/>
      <c r="C4" s="28">
        <f>'Cost plan'!L42</f>
        <v/>
      </c>
      <c r="E4" s="28">
        <f>'Cost plan'!L41</f>
        <v/>
      </c>
      <c r="G4" s="28">
        <f>L36-D36</f>
        <v/>
      </c>
      <c r="I4" s="28">
        <f>C4-L36</f>
        <v/>
      </c>
      <c r="K4" s="29">
        <f>IF(E4=0,0,G4/E4)</f>
        <v/>
      </c>
      <c r="N4" s="30">
        <f>COUNTIFS(Log!F6:F305,"&lt;&gt;",Log!C6:C305,"")</f>
        <v/>
      </c>
    </row>
    <row r="5" ht="20" customHeight="1">
      <c r="A5" s="31">
        <f>IF(C4=0,"Fill in the Cost plan first: the register takes its budget from there.",IF(A4&gt;C4,"STOP: the forecast final cost is above your total budget by "&amp;TEXT(A4-C4,"$#,##0")&amp;". Decide what to cut before you approve anything else.","Within budget: "&amp;TEXT(I4,"$#,##0")&amp;" of contingency left. Check that the job is far enough along to justify the "&amp;TEXT(G4,"$#,##0")&amp;" used."))&amp;IF(N4&gt;0,"   Check the Log: "&amp;N4&amp;" priced row(s) have no register line.","")</f>
        <v/>
      </c>
    </row>
    <row r="7" ht="44" customHeight="1">
      <c r="A7" s="10" t="inlineStr">
        <is>
          <t>#</t>
        </is>
      </c>
      <c r="B7" s="10" t="inlineStr">
        <is>
          <t>Register line</t>
        </is>
      </c>
      <c r="C7" s="10" t="inlineStr">
        <is>
          <t>Group</t>
        </is>
      </c>
      <c r="D7" s="10" t="inlineStr">
        <is>
          <t>Budget at contract</t>
        </is>
      </c>
      <c r="E7" s="10" t="inlineStr">
        <is>
          <t>Contract amount</t>
        </is>
      </c>
      <c r="F7" s="10" t="inlineStr">
        <is>
          <t>Approved variations</t>
        </is>
      </c>
      <c r="G7" s="10" t="inlineStr">
        <is>
          <t>PC/PS adjustments</t>
        </is>
      </c>
      <c r="H7" s="10" t="inlineStr">
        <is>
          <t>Owner-supplied and extras committed</t>
        </is>
      </c>
      <c r="I7" s="10" t="inlineStr">
        <is>
          <t>Spent or committed to date</t>
        </is>
      </c>
      <c r="J7" s="10" t="inlineStr">
        <is>
          <t>Pending (quoted, not agreed)</t>
        </is>
      </c>
      <c r="K7" s="10" t="inlineStr">
        <is>
          <t>Still to come (your estimate)</t>
        </is>
      </c>
      <c r="L7" s="10" t="inlineStr">
        <is>
          <t>Forecast final cost</t>
        </is>
      </c>
      <c r="M7" s="10" t="inlineStr">
        <is>
          <t>Over / (under) budget</t>
        </is>
      </c>
      <c r="N7" s="10" t="inlineStr">
        <is>
          <t>Notes</t>
        </is>
      </c>
    </row>
    <row r="8">
      <c r="A8" s="11">
        <f>IF('Cost plan'!A6="","",'Cost plan'!A6)</f>
        <v/>
      </c>
      <c r="B8" s="12">
        <f>IF('Cost plan'!B6="","",'Cost plan'!B6)</f>
        <v/>
      </c>
      <c r="C8" s="11">
        <f>IF(B8="","",'Cost plan'!F6&amp;"")</f>
        <v/>
      </c>
      <c r="D8" s="17">
        <f>IF(B8="","",N('Cost plan'!L6))</f>
        <v/>
      </c>
      <c r="E8" s="17">
        <f>IF(OR(C8="In contract",C8="PC item",C8="PS"),N('Cost plan'!J6),0)</f>
        <v/>
      </c>
      <c r="F8" s="17">
        <f>IF(B8="",0,SUMIFS(Log!$F$6:$F$305,Log!$C$6:$C$305,$B8,Log!$D$6:$D$305,"Variation",Log!$J$6:$J$305,"Committed"))</f>
        <v/>
      </c>
      <c r="G8" s="17">
        <f>IF(B8="",0,SUMIFS(Log!$F$6:$F$305,Log!$C$6:$C$305,$B8,Log!$D$6:$D$305,"PS adjustment",Log!$J$6:$J$305,"Committed")+SUMIFS(Log!$F$6:$F$305,Log!$C$6:$C$305,$B8,Log!$D$6:$D$305,"PC adjustment",Log!$J$6:$J$305,"Committed"))</f>
        <v/>
      </c>
      <c r="H8" s="17">
        <f>IF(B8="",0,SUMIFS(Log!$F$6:$F$305,Log!$C$6:$C$305,$B8,Log!$D$6:$D$305,"Owner-supplied",Log!$J$6:$J$305,"Committed")+SUMIFS(Log!$F$6:$F$305,Log!$C$6:$C$305,$B8,Log!$D$6:$D$305,"Extra outside contract",Log!$J$6:$J$305,"Committed"))</f>
        <v/>
      </c>
      <c r="I8" s="17">
        <f>E8+F8+G8+H8</f>
        <v/>
      </c>
      <c r="J8" s="17">
        <f>IF(B8="",0,SUMIFS(Log!$F$6:$F$305,Log!$C$6:$C$305,$B8,Log!$J$6:$J$305,"Pending"))</f>
        <v/>
      </c>
      <c r="K8" s="16">
        <f>IF(OR(C8="Owner-supplied",C8="Outside contract"),MAX(0,N(D8)-H8-J8),0)</f>
        <v/>
      </c>
      <c r="L8" s="19">
        <f>I8+J8+N(K8)</f>
        <v/>
      </c>
      <c r="M8" s="17">
        <f>IF(B8="",0,L8-N(D8))</f>
        <v/>
      </c>
      <c r="N8" s="14" t="n"/>
    </row>
    <row r="9">
      <c r="A9" s="11">
        <f>IF('Cost plan'!A7="","",'Cost plan'!A7)</f>
        <v/>
      </c>
      <c r="B9" s="12">
        <f>IF('Cost plan'!B7="","",'Cost plan'!B7)</f>
        <v/>
      </c>
      <c r="C9" s="11">
        <f>IF(B9="","",'Cost plan'!F7&amp;"")</f>
        <v/>
      </c>
      <c r="D9" s="17">
        <f>IF(B9="","",N('Cost plan'!L7))</f>
        <v/>
      </c>
      <c r="E9" s="17">
        <f>IF(OR(C9="In contract",C9="PC item",C9="PS"),N('Cost plan'!J7),0)</f>
        <v/>
      </c>
      <c r="F9" s="17">
        <f>IF(B9="",0,SUMIFS(Log!$F$6:$F$305,Log!$C$6:$C$305,$B9,Log!$D$6:$D$305,"Variation",Log!$J$6:$J$305,"Committed"))</f>
        <v/>
      </c>
      <c r="G9" s="17">
        <f>IF(B9="",0,SUMIFS(Log!$F$6:$F$305,Log!$C$6:$C$305,$B9,Log!$D$6:$D$305,"PS adjustment",Log!$J$6:$J$305,"Committed")+SUMIFS(Log!$F$6:$F$305,Log!$C$6:$C$305,$B9,Log!$D$6:$D$305,"PC adjustment",Log!$J$6:$J$305,"Committed"))</f>
        <v/>
      </c>
      <c r="H9" s="17">
        <f>IF(B9="",0,SUMIFS(Log!$F$6:$F$305,Log!$C$6:$C$305,$B9,Log!$D$6:$D$305,"Owner-supplied",Log!$J$6:$J$305,"Committed")+SUMIFS(Log!$F$6:$F$305,Log!$C$6:$C$305,$B9,Log!$D$6:$D$305,"Extra outside contract",Log!$J$6:$J$305,"Committed"))</f>
        <v/>
      </c>
      <c r="I9" s="17">
        <f>E9+F9+G9+H9</f>
        <v/>
      </c>
      <c r="J9" s="17">
        <f>IF(B9="",0,SUMIFS(Log!$F$6:$F$305,Log!$C$6:$C$305,$B9,Log!$J$6:$J$305,"Pending"))</f>
        <v/>
      </c>
      <c r="K9" s="16">
        <f>IF(OR(C9="Owner-supplied",C9="Outside contract"),MAX(0,N(D9)-H9-J9),0)</f>
        <v/>
      </c>
      <c r="L9" s="19">
        <f>I9+J9+N(K9)</f>
        <v/>
      </c>
      <c r="M9" s="17">
        <f>IF(B9="",0,L9-N(D9))</f>
        <v/>
      </c>
      <c r="N9" s="14" t="n"/>
    </row>
    <row r="10">
      <c r="A10" s="11">
        <f>IF('Cost plan'!A8="","",'Cost plan'!A8)</f>
        <v/>
      </c>
      <c r="B10" s="12">
        <f>IF('Cost plan'!B8="","",'Cost plan'!B8)</f>
        <v/>
      </c>
      <c r="C10" s="11">
        <f>IF(B10="","",'Cost plan'!F8&amp;"")</f>
        <v/>
      </c>
      <c r="D10" s="17">
        <f>IF(B10="","",N('Cost plan'!L8))</f>
        <v/>
      </c>
      <c r="E10" s="17">
        <f>IF(OR(C10="In contract",C10="PC item",C10="PS"),N('Cost plan'!J8),0)</f>
        <v/>
      </c>
      <c r="F10" s="17">
        <f>IF(B10="",0,SUMIFS(Log!$F$6:$F$305,Log!$C$6:$C$305,$B10,Log!$D$6:$D$305,"Variation",Log!$J$6:$J$305,"Committed"))</f>
        <v/>
      </c>
      <c r="G10" s="17">
        <f>IF(B10="",0,SUMIFS(Log!$F$6:$F$305,Log!$C$6:$C$305,$B10,Log!$D$6:$D$305,"PS adjustment",Log!$J$6:$J$305,"Committed")+SUMIFS(Log!$F$6:$F$305,Log!$C$6:$C$305,$B10,Log!$D$6:$D$305,"PC adjustment",Log!$J$6:$J$305,"Committed"))</f>
        <v/>
      </c>
      <c r="H10" s="17">
        <f>IF(B10="",0,SUMIFS(Log!$F$6:$F$305,Log!$C$6:$C$305,$B10,Log!$D$6:$D$305,"Owner-supplied",Log!$J$6:$J$305,"Committed")+SUMIFS(Log!$F$6:$F$305,Log!$C$6:$C$305,$B10,Log!$D$6:$D$305,"Extra outside contract",Log!$J$6:$J$305,"Committed"))</f>
        <v/>
      </c>
      <c r="I10" s="17">
        <f>E10+F10+G10+H10</f>
        <v/>
      </c>
      <c r="J10" s="17">
        <f>IF(B10="",0,SUMIFS(Log!$F$6:$F$305,Log!$C$6:$C$305,$B10,Log!$J$6:$J$305,"Pending"))</f>
        <v/>
      </c>
      <c r="K10" s="16">
        <f>IF(OR(C10="Owner-supplied",C10="Outside contract"),MAX(0,N(D10)-H10-J10),0)</f>
        <v/>
      </c>
      <c r="L10" s="19">
        <f>I10+J10+N(K10)</f>
        <v/>
      </c>
      <c r="M10" s="17">
        <f>IF(B10="",0,L10-N(D10))</f>
        <v/>
      </c>
      <c r="N10" s="14" t="n"/>
    </row>
    <row r="11">
      <c r="A11" s="11">
        <f>IF('Cost plan'!A9="","",'Cost plan'!A9)</f>
        <v/>
      </c>
      <c r="B11" s="12">
        <f>IF('Cost plan'!B9="","",'Cost plan'!B9)</f>
        <v/>
      </c>
      <c r="C11" s="11">
        <f>IF(B11="","",'Cost plan'!F9&amp;"")</f>
        <v/>
      </c>
      <c r="D11" s="17">
        <f>IF(B11="","",N('Cost plan'!L9))</f>
        <v/>
      </c>
      <c r="E11" s="17">
        <f>IF(OR(C11="In contract",C11="PC item",C11="PS"),N('Cost plan'!J9),0)</f>
        <v/>
      </c>
      <c r="F11" s="17">
        <f>IF(B11="",0,SUMIFS(Log!$F$6:$F$305,Log!$C$6:$C$305,$B11,Log!$D$6:$D$305,"Variation",Log!$J$6:$J$305,"Committed"))</f>
        <v/>
      </c>
      <c r="G11" s="17">
        <f>IF(B11="",0,SUMIFS(Log!$F$6:$F$305,Log!$C$6:$C$305,$B11,Log!$D$6:$D$305,"PS adjustment",Log!$J$6:$J$305,"Committed")+SUMIFS(Log!$F$6:$F$305,Log!$C$6:$C$305,$B11,Log!$D$6:$D$305,"PC adjustment",Log!$J$6:$J$305,"Committed"))</f>
        <v/>
      </c>
      <c r="H11" s="17">
        <f>IF(B11="",0,SUMIFS(Log!$F$6:$F$305,Log!$C$6:$C$305,$B11,Log!$D$6:$D$305,"Owner-supplied",Log!$J$6:$J$305,"Committed")+SUMIFS(Log!$F$6:$F$305,Log!$C$6:$C$305,$B11,Log!$D$6:$D$305,"Extra outside contract",Log!$J$6:$J$305,"Committed"))</f>
        <v/>
      </c>
      <c r="I11" s="17">
        <f>E11+F11+G11+H11</f>
        <v/>
      </c>
      <c r="J11" s="17">
        <f>IF(B11="",0,SUMIFS(Log!$F$6:$F$305,Log!$C$6:$C$305,$B11,Log!$J$6:$J$305,"Pending"))</f>
        <v/>
      </c>
      <c r="K11" s="16">
        <f>IF(OR(C11="Owner-supplied",C11="Outside contract"),MAX(0,N(D11)-H11-J11),0)</f>
        <v/>
      </c>
      <c r="L11" s="19">
        <f>I11+J11+N(K11)</f>
        <v/>
      </c>
      <c r="M11" s="17">
        <f>IF(B11="",0,L11-N(D11))</f>
        <v/>
      </c>
      <c r="N11" s="14" t="n"/>
    </row>
    <row r="12">
      <c r="A12" s="11">
        <f>IF('Cost plan'!A10="","",'Cost plan'!A10)</f>
        <v/>
      </c>
      <c r="B12" s="12">
        <f>IF('Cost plan'!B10="","",'Cost plan'!B10)</f>
        <v/>
      </c>
      <c r="C12" s="11">
        <f>IF(B12="","",'Cost plan'!F10&amp;"")</f>
        <v/>
      </c>
      <c r="D12" s="17">
        <f>IF(B12="","",N('Cost plan'!L10))</f>
        <v/>
      </c>
      <c r="E12" s="17">
        <f>IF(OR(C12="In contract",C12="PC item",C12="PS"),N('Cost plan'!J10),0)</f>
        <v/>
      </c>
      <c r="F12" s="17">
        <f>IF(B12="",0,SUMIFS(Log!$F$6:$F$305,Log!$C$6:$C$305,$B12,Log!$D$6:$D$305,"Variation",Log!$J$6:$J$305,"Committed"))</f>
        <v/>
      </c>
      <c r="G12" s="17">
        <f>IF(B12="",0,SUMIFS(Log!$F$6:$F$305,Log!$C$6:$C$305,$B12,Log!$D$6:$D$305,"PS adjustment",Log!$J$6:$J$305,"Committed")+SUMIFS(Log!$F$6:$F$305,Log!$C$6:$C$305,$B12,Log!$D$6:$D$305,"PC adjustment",Log!$J$6:$J$305,"Committed"))</f>
        <v/>
      </c>
      <c r="H12" s="17">
        <f>IF(B12="",0,SUMIFS(Log!$F$6:$F$305,Log!$C$6:$C$305,$B12,Log!$D$6:$D$305,"Owner-supplied",Log!$J$6:$J$305,"Committed")+SUMIFS(Log!$F$6:$F$305,Log!$C$6:$C$305,$B12,Log!$D$6:$D$305,"Extra outside contract",Log!$J$6:$J$305,"Committed"))</f>
        <v/>
      </c>
      <c r="I12" s="17">
        <f>E12+F12+G12+H12</f>
        <v/>
      </c>
      <c r="J12" s="17">
        <f>IF(B12="",0,SUMIFS(Log!$F$6:$F$305,Log!$C$6:$C$305,$B12,Log!$J$6:$J$305,"Pending"))</f>
        <v/>
      </c>
      <c r="K12" s="16">
        <f>IF(OR(C12="Owner-supplied",C12="Outside contract"),MAX(0,N(D12)-H12-J12),0)</f>
        <v/>
      </c>
      <c r="L12" s="19">
        <f>I12+J12+N(K12)</f>
        <v/>
      </c>
      <c r="M12" s="17">
        <f>IF(B12="",0,L12-N(D12))</f>
        <v/>
      </c>
      <c r="N12" s="14" t="n"/>
    </row>
    <row r="13">
      <c r="A13" s="11">
        <f>IF('Cost plan'!A11="","",'Cost plan'!A11)</f>
        <v/>
      </c>
      <c r="B13" s="12">
        <f>IF('Cost plan'!B11="","",'Cost plan'!B11)</f>
        <v/>
      </c>
      <c r="C13" s="11">
        <f>IF(B13="","",'Cost plan'!F11&amp;"")</f>
        <v/>
      </c>
      <c r="D13" s="17">
        <f>IF(B13="","",N('Cost plan'!L11))</f>
        <v/>
      </c>
      <c r="E13" s="17">
        <f>IF(OR(C13="In contract",C13="PC item",C13="PS"),N('Cost plan'!J11),0)</f>
        <v/>
      </c>
      <c r="F13" s="17">
        <f>IF(B13="",0,SUMIFS(Log!$F$6:$F$305,Log!$C$6:$C$305,$B13,Log!$D$6:$D$305,"Variation",Log!$J$6:$J$305,"Committed"))</f>
        <v/>
      </c>
      <c r="G13" s="17">
        <f>IF(B13="",0,SUMIFS(Log!$F$6:$F$305,Log!$C$6:$C$305,$B13,Log!$D$6:$D$305,"PS adjustment",Log!$J$6:$J$305,"Committed")+SUMIFS(Log!$F$6:$F$305,Log!$C$6:$C$305,$B13,Log!$D$6:$D$305,"PC adjustment",Log!$J$6:$J$305,"Committed"))</f>
        <v/>
      </c>
      <c r="H13" s="17">
        <f>IF(B13="",0,SUMIFS(Log!$F$6:$F$305,Log!$C$6:$C$305,$B13,Log!$D$6:$D$305,"Owner-supplied",Log!$J$6:$J$305,"Committed")+SUMIFS(Log!$F$6:$F$305,Log!$C$6:$C$305,$B13,Log!$D$6:$D$305,"Extra outside contract",Log!$J$6:$J$305,"Committed"))</f>
        <v/>
      </c>
      <c r="I13" s="17">
        <f>E13+F13+G13+H13</f>
        <v/>
      </c>
      <c r="J13" s="17">
        <f>IF(B13="",0,SUMIFS(Log!$F$6:$F$305,Log!$C$6:$C$305,$B13,Log!$J$6:$J$305,"Pending"))</f>
        <v/>
      </c>
      <c r="K13" s="16">
        <f>IF(OR(C13="Owner-supplied",C13="Outside contract"),MAX(0,N(D13)-H13-J13),0)</f>
        <v/>
      </c>
      <c r="L13" s="19">
        <f>I13+J13+N(K13)</f>
        <v/>
      </c>
      <c r="M13" s="17">
        <f>IF(B13="",0,L13-N(D13))</f>
        <v/>
      </c>
      <c r="N13" s="14" t="n"/>
    </row>
    <row r="14">
      <c r="A14" s="11">
        <f>IF('Cost plan'!A12="","",'Cost plan'!A12)</f>
        <v/>
      </c>
      <c r="B14" s="12">
        <f>IF('Cost plan'!B12="","",'Cost plan'!B12)</f>
        <v/>
      </c>
      <c r="C14" s="11">
        <f>IF(B14="","",'Cost plan'!F12&amp;"")</f>
        <v/>
      </c>
      <c r="D14" s="17">
        <f>IF(B14="","",N('Cost plan'!L12))</f>
        <v/>
      </c>
      <c r="E14" s="17">
        <f>IF(OR(C14="In contract",C14="PC item",C14="PS"),N('Cost plan'!J12),0)</f>
        <v/>
      </c>
      <c r="F14" s="17">
        <f>IF(B14="",0,SUMIFS(Log!$F$6:$F$305,Log!$C$6:$C$305,$B14,Log!$D$6:$D$305,"Variation",Log!$J$6:$J$305,"Committed"))</f>
        <v/>
      </c>
      <c r="G14" s="17">
        <f>IF(B14="",0,SUMIFS(Log!$F$6:$F$305,Log!$C$6:$C$305,$B14,Log!$D$6:$D$305,"PS adjustment",Log!$J$6:$J$305,"Committed")+SUMIFS(Log!$F$6:$F$305,Log!$C$6:$C$305,$B14,Log!$D$6:$D$305,"PC adjustment",Log!$J$6:$J$305,"Committed"))</f>
        <v/>
      </c>
      <c r="H14" s="17">
        <f>IF(B14="",0,SUMIFS(Log!$F$6:$F$305,Log!$C$6:$C$305,$B14,Log!$D$6:$D$305,"Owner-supplied",Log!$J$6:$J$305,"Committed")+SUMIFS(Log!$F$6:$F$305,Log!$C$6:$C$305,$B14,Log!$D$6:$D$305,"Extra outside contract",Log!$J$6:$J$305,"Committed"))</f>
        <v/>
      </c>
      <c r="I14" s="17">
        <f>E14+F14+G14+H14</f>
        <v/>
      </c>
      <c r="J14" s="17">
        <f>IF(B14="",0,SUMIFS(Log!$F$6:$F$305,Log!$C$6:$C$305,$B14,Log!$J$6:$J$305,"Pending"))</f>
        <v/>
      </c>
      <c r="K14" s="16">
        <f>IF(OR(C14="Owner-supplied",C14="Outside contract"),MAX(0,N(D14)-H14-J14),0)</f>
        <v/>
      </c>
      <c r="L14" s="19">
        <f>I14+J14+N(K14)</f>
        <v/>
      </c>
      <c r="M14" s="17">
        <f>IF(B14="",0,L14-N(D14))</f>
        <v/>
      </c>
      <c r="N14" s="14" t="n"/>
    </row>
    <row r="15">
      <c r="A15" s="11">
        <f>IF('Cost plan'!A13="","",'Cost plan'!A13)</f>
        <v/>
      </c>
      <c r="B15" s="12">
        <f>IF('Cost plan'!B13="","",'Cost plan'!B13)</f>
        <v/>
      </c>
      <c r="C15" s="11">
        <f>IF(B15="","",'Cost plan'!F13&amp;"")</f>
        <v/>
      </c>
      <c r="D15" s="17">
        <f>IF(B15="","",N('Cost plan'!L13))</f>
        <v/>
      </c>
      <c r="E15" s="17">
        <f>IF(OR(C15="In contract",C15="PC item",C15="PS"),N('Cost plan'!J13),0)</f>
        <v/>
      </c>
      <c r="F15" s="17">
        <f>IF(B15="",0,SUMIFS(Log!$F$6:$F$305,Log!$C$6:$C$305,$B15,Log!$D$6:$D$305,"Variation",Log!$J$6:$J$305,"Committed"))</f>
        <v/>
      </c>
      <c r="G15" s="17">
        <f>IF(B15="",0,SUMIFS(Log!$F$6:$F$305,Log!$C$6:$C$305,$B15,Log!$D$6:$D$305,"PS adjustment",Log!$J$6:$J$305,"Committed")+SUMIFS(Log!$F$6:$F$305,Log!$C$6:$C$305,$B15,Log!$D$6:$D$305,"PC adjustment",Log!$J$6:$J$305,"Committed"))</f>
        <v/>
      </c>
      <c r="H15" s="17">
        <f>IF(B15="",0,SUMIFS(Log!$F$6:$F$305,Log!$C$6:$C$305,$B15,Log!$D$6:$D$305,"Owner-supplied",Log!$J$6:$J$305,"Committed")+SUMIFS(Log!$F$6:$F$305,Log!$C$6:$C$305,$B15,Log!$D$6:$D$305,"Extra outside contract",Log!$J$6:$J$305,"Committed"))</f>
        <v/>
      </c>
      <c r="I15" s="17">
        <f>E15+F15+G15+H15</f>
        <v/>
      </c>
      <c r="J15" s="17">
        <f>IF(B15="",0,SUMIFS(Log!$F$6:$F$305,Log!$C$6:$C$305,$B15,Log!$J$6:$J$305,"Pending"))</f>
        <v/>
      </c>
      <c r="K15" s="16">
        <f>IF(OR(C15="Owner-supplied",C15="Outside contract"),MAX(0,N(D15)-H15-J15),0)</f>
        <v/>
      </c>
      <c r="L15" s="19">
        <f>I15+J15+N(K15)</f>
        <v/>
      </c>
      <c r="M15" s="17">
        <f>IF(B15="",0,L15-N(D15))</f>
        <v/>
      </c>
      <c r="N15" s="14" t="n"/>
    </row>
    <row r="16">
      <c r="A16" s="11">
        <f>IF('Cost plan'!A14="","",'Cost plan'!A14)</f>
        <v/>
      </c>
      <c r="B16" s="12">
        <f>IF('Cost plan'!B14="","",'Cost plan'!B14)</f>
        <v/>
      </c>
      <c r="C16" s="11">
        <f>IF(B16="","",'Cost plan'!F14&amp;"")</f>
        <v/>
      </c>
      <c r="D16" s="17">
        <f>IF(B16="","",N('Cost plan'!L14))</f>
        <v/>
      </c>
      <c r="E16" s="17">
        <f>IF(OR(C16="In contract",C16="PC item",C16="PS"),N('Cost plan'!J14),0)</f>
        <v/>
      </c>
      <c r="F16" s="17">
        <f>IF(B16="",0,SUMIFS(Log!$F$6:$F$305,Log!$C$6:$C$305,$B16,Log!$D$6:$D$305,"Variation",Log!$J$6:$J$305,"Committed"))</f>
        <v/>
      </c>
      <c r="G16" s="17">
        <f>IF(B16="",0,SUMIFS(Log!$F$6:$F$305,Log!$C$6:$C$305,$B16,Log!$D$6:$D$305,"PS adjustment",Log!$J$6:$J$305,"Committed")+SUMIFS(Log!$F$6:$F$305,Log!$C$6:$C$305,$B16,Log!$D$6:$D$305,"PC adjustment",Log!$J$6:$J$305,"Committed"))</f>
        <v/>
      </c>
      <c r="H16" s="17">
        <f>IF(B16="",0,SUMIFS(Log!$F$6:$F$305,Log!$C$6:$C$305,$B16,Log!$D$6:$D$305,"Owner-supplied",Log!$J$6:$J$305,"Committed")+SUMIFS(Log!$F$6:$F$305,Log!$C$6:$C$305,$B16,Log!$D$6:$D$305,"Extra outside contract",Log!$J$6:$J$305,"Committed"))</f>
        <v/>
      </c>
      <c r="I16" s="17">
        <f>E16+F16+G16+H16</f>
        <v/>
      </c>
      <c r="J16" s="17">
        <f>IF(B16="",0,SUMIFS(Log!$F$6:$F$305,Log!$C$6:$C$305,$B16,Log!$J$6:$J$305,"Pending"))</f>
        <v/>
      </c>
      <c r="K16" s="16">
        <f>IF(OR(C16="Owner-supplied",C16="Outside contract"),MAX(0,N(D16)-H16-J16),0)</f>
        <v/>
      </c>
      <c r="L16" s="19">
        <f>I16+J16+N(K16)</f>
        <v/>
      </c>
      <c r="M16" s="17">
        <f>IF(B16="",0,L16-N(D16))</f>
        <v/>
      </c>
      <c r="N16" s="14" t="n"/>
    </row>
    <row r="17">
      <c r="A17" s="11">
        <f>IF('Cost plan'!A15="","",'Cost plan'!A15)</f>
        <v/>
      </c>
      <c r="B17" s="12">
        <f>IF('Cost plan'!B15="","",'Cost plan'!B15)</f>
        <v/>
      </c>
      <c r="C17" s="11">
        <f>IF(B17="","",'Cost plan'!F15&amp;"")</f>
        <v/>
      </c>
      <c r="D17" s="17">
        <f>IF(B17="","",N('Cost plan'!L15))</f>
        <v/>
      </c>
      <c r="E17" s="17">
        <f>IF(OR(C17="In contract",C17="PC item",C17="PS"),N('Cost plan'!J15),0)</f>
        <v/>
      </c>
      <c r="F17" s="17">
        <f>IF(B17="",0,SUMIFS(Log!$F$6:$F$305,Log!$C$6:$C$305,$B17,Log!$D$6:$D$305,"Variation",Log!$J$6:$J$305,"Committed"))</f>
        <v/>
      </c>
      <c r="G17" s="17">
        <f>IF(B17="",0,SUMIFS(Log!$F$6:$F$305,Log!$C$6:$C$305,$B17,Log!$D$6:$D$305,"PS adjustment",Log!$J$6:$J$305,"Committed")+SUMIFS(Log!$F$6:$F$305,Log!$C$6:$C$305,$B17,Log!$D$6:$D$305,"PC adjustment",Log!$J$6:$J$305,"Committed"))</f>
        <v/>
      </c>
      <c r="H17" s="17">
        <f>IF(B17="",0,SUMIFS(Log!$F$6:$F$305,Log!$C$6:$C$305,$B17,Log!$D$6:$D$305,"Owner-supplied",Log!$J$6:$J$305,"Committed")+SUMIFS(Log!$F$6:$F$305,Log!$C$6:$C$305,$B17,Log!$D$6:$D$305,"Extra outside contract",Log!$J$6:$J$305,"Committed"))</f>
        <v/>
      </c>
      <c r="I17" s="17">
        <f>E17+F17+G17+H17</f>
        <v/>
      </c>
      <c r="J17" s="17">
        <f>IF(B17="",0,SUMIFS(Log!$F$6:$F$305,Log!$C$6:$C$305,$B17,Log!$J$6:$J$305,"Pending"))</f>
        <v/>
      </c>
      <c r="K17" s="16" t="n">
        <v>7500</v>
      </c>
      <c r="L17" s="19">
        <f>I17+J17+N(K17)</f>
        <v/>
      </c>
      <c r="M17" s="17">
        <f>IF(B17="",0,L17-N(D17))</f>
        <v/>
      </c>
      <c r="N17" s="14" t="inlineStr">
        <is>
          <t>Landscaping and turf still to price</t>
        </is>
      </c>
    </row>
    <row r="18">
      <c r="A18" s="11">
        <f>IF('Cost plan'!A16="","",'Cost plan'!A16)</f>
        <v/>
      </c>
      <c r="B18" s="12">
        <f>IF('Cost plan'!B16="","",'Cost plan'!B16)</f>
        <v/>
      </c>
      <c r="C18" s="11">
        <f>IF(B18="","",'Cost plan'!F16&amp;"")</f>
        <v/>
      </c>
      <c r="D18" s="17">
        <f>IF(B18="","",N('Cost plan'!L16))</f>
        <v/>
      </c>
      <c r="E18" s="17">
        <f>IF(OR(C18="In contract",C18="PC item",C18="PS"),N('Cost plan'!J16),0)</f>
        <v/>
      </c>
      <c r="F18" s="17">
        <f>IF(B18="",0,SUMIFS(Log!$F$6:$F$305,Log!$C$6:$C$305,$B18,Log!$D$6:$D$305,"Variation",Log!$J$6:$J$305,"Committed"))</f>
        <v/>
      </c>
      <c r="G18" s="17">
        <f>IF(B18="",0,SUMIFS(Log!$F$6:$F$305,Log!$C$6:$C$305,$B18,Log!$D$6:$D$305,"PS adjustment",Log!$J$6:$J$305,"Committed")+SUMIFS(Log!$F$6:$F$305,Log!$C$6:$C$305,$B18,Log!$D$6:$D$305,"PC adjustment",Log!$J$6:$J$305,"Committed"))</f>
        <v/>
      </c>
      <c r="H18" s="17">
        <f>IF(B18="",0,SUMIFS(Log!$F$6:$F$305,Log!$C$6:$C$305,$B18,Log!$D$6:$D$305,"Owner-supplied",Log!$J$6:$J$305,"Committed")+SUMIFS(Log!$F$6:$F$305,Log!$C$6:$C$305,$B18,Log!$D$6:$D$305,"Extra outside contract",Log!$J$6:$J$305,"Committed"))</f>
        <v/>
      </c>
      <c r="I18" s="17">
        <f>E18+F18+G18+H18</f>
        <v/>
      </c>
      <c r="J18" s="17">
        <f>IF(B18="",0,SUMIFS(Log!$F$6:$F$305,Log!$C$6:$C$305,$B18,Log!$J$6:$J$305,"Pending"))</f>
        <v/>
      </c>
      <c r="K18" s="16">
        <f>IF(OR(C18="Owner-supplied",C18="Outside contract"),MAX(0,N(D18)-H18-J18),0)</f>
        <v/>
      </c>
      <c r="L18" s="19">
        <f>I18+J18+N(K18)</f>
        <v/>
      </c>
      <c r="M18" s="17">
        <f>IF(B18="",0,L18-N(D18))</f>
        <v/>
      </c>
      <c r="N18" s="14" t="n"/>
    </row>
    <row r="19">
      <c r="A19" s="11">
        <f>IF('Cost plan'!A17="","",'Cost plan'!A17)</f>
        <v/>
      </c>
      <c r="B19" s="12">
        <f>IF('Cost plan'!B17="","",'Cost plan'!B17)</f>
        <v/>
      </c>
      <c r="C19" s="11">
        <f>IF(B19="","",'Cost plan'!F17&amp;"")</f>
        <v/>
      </c>
      <c r="D19" s="17">
        <f>IF(B19="","",N('Cost plan'!L17))</f>
        <v/>
      </c>
      <c r="E19" s="17">
        <f>IF(OR(C19="In contract",C19="PC item",C19="PS"),N('Cost plan'!J17),0)</f>
        <v/>
      </c>
      <c r="F19" s="17">
        <f>IF(B19="",0,SUMIFS(Log!$F$6:$F$305,Log!$C$6:$C$305,$B19,Log!$D$6:$D$305,"Variation",Log!$J$6:$J$305,"Committed"))</f>
        <v/>
      </c>
      <c r="G19" s="17">
        <f>IF(B19="",0,SUMIFS(Log!$F$6:$F$305,Log!$C$6:$C$305,$B19,Log!$D$6:$D$305,"PS adjustment",Log!$J$6:$J$305,"Committed")+SUMIFS(Log!$F$6:$F$305,Log!$C$6:$C$305,$B19,Log!$D$6:$D$305,"PC adjustment",Log!$J$6:$J$305,"Committed"))</f>
        <v/>
      </c>
      <c r="H19" s="17">
        <f>IF(B19="",0,SUMIFS(Log!$F$6:$F$305,Log!$C$6:$C$305,$B19,Log!$D$6:$D$305,"Owner-supplied",Log!$J$6:$J$305,"Committed")+SUMIFS(Log!$F$6:$F$305,Log!$C$6:$C$305,$B19,Log!$D$6:$D$305,"Extra outside contract",Log!$J$6:$J$305,"Committed"))</f>
        <v/>
      </c>
      <c r="I19" s="17">
        <f>E19+F19+G19+H19</f>
        <v/>
      </c>
      <c r="J19" s="17">
        <f>IF(B19="",0,SUMIFS(Log!$F$6:$F$305,Log!$C$6:$C$305,$B19,Log!$J$6:$J$305,"Pending"))</f>
        <v/>
      </c>
      <c r="K19" s="16" t="n">
        <v>0</v>
      </c>
      <c r="L19" s="19">
        <f>I19+J19+N(K19)</f>
        <v/>
      </c>
      <c r="M19" s="17">
        <f>IF(B19="",0,L19-N(D19))</f>
        <v/>
      </c>
      <c r="N19" s="14" t="inlineStr">
        <is>
          <t>Closed</t>
        </is>
      </c>
    </row>
    <row r="20">
      <c r="A20" s="11">
        <f>IF('Cost plan'!A18="","",'Cost plan'!A18)</f>
        <v/>
      </c>
      <c r="B20" s="12">
        <f>IF('Cost plan'!B18="","",'Cost plan'!B18)</f>
        <v/>
      </c>
      <c r="C20" s="11">
        <f>IF(B20="","",'Cost plan'!F18&amp;"")</f>
        <v/>
      </c>
      <c r="D20" s="17">
        <f>IF(B20="","",N('Cost plan'!L18))</f>
        <v/>
      </c>
      <c r="E20" s="17">
        <f>IF(OR(C20="In contract",C20="PC item",C20="PS"),N('Cost plan'!J18),0)</f>
        <v/>
      </c>
      <c r="F20" s="17">
        <f>IF(B20="",0,SUMIFS(Log!$F$6:$F$305,Log!$C$6:$C$305,$B20,Log!$D$6:$D$305,"Variation",Log!$J$6:$J$305,"Committed"))</f>
        <v/>
      </c>
      <c r="G20" s="17">
        <f>IF(B20="",0,SUMIFS(Log!$F$6:$F$305,Log!$C$6:$C$305,$B20,Log!$D$6:$D$305,"PS adjustment",Log!$J$6:$J$305,"Committed")+SUMIFS(Log!$F$6:$F$305,Log!$C$6:$C$305,$B20,Log!$D$6:$D$305,"PC adjustment",Log!$J$6:$J$305,"Committed"))</f>
        <v/>
      </c>
      <c r="H20" s="17">
        <f>IF(B20="",0,SUMIFS(Log!$F$6:$F$305,Log!$C$6:$C$305,$B20,Log!$D$6:$D$305,"Owner-supplied",Log!$J$6:$J$305,"Committed")+SUMIFS(Log!$F$6:$F$305,Log!$C$6:$C$305,$B20,Log!$D$6:$D$305,"Extra outside contract",Log!$J$6:$J$305,"Committed"))</f>
        <v/>
      </c>
      <c r="I20" s="17">
        <f>E20+F20+G20+H20</f>
        <v/>
      </c>
      <c r="J20" s="17">
        <f>IF(B20="",0,SUMIFS(Log!$F$6:$F$305,Log!$C$6:$C$305,$B20,Log!$J$6:$J$305,"Pending"))</f>
        <v/>
      </c>
      <c r="K20" s="16" t="n">
        <v>0</v>
      </c>
      <c r="L20" s="19">
        <f>I20+J20+N(K20)</f>
        <v/>
      </c>
      <c r="M20" s="17">
        <f>IF(B20="",0,L20-N(D20))</f>
        <v/>
      </c>
      <c r="N20" s="14" t="inlineStr">
        <is>
          <t>Quote covers it</t>
        </is>
      </c>
    </row>
    <row r="21">
      <c r="A21" s="11">
        <f>IF('Cost plan'!A19="","",'Cost plan'!A19)</f>
        <v/>
      </c>
      <c r="B21" s="12">
        <f>IF('Cost plan'!B19="","",'Cost plan'!B19)</f>
        <v/>
      </c>
      <c r="C21" s="11">
        <f>IF(B21="","",'Cost plan'!F19&amp;"")</f>
        <v/>
      </c>
      <c r="D21" s="17">
        <f>IF(B21="","",N('Cost plan'!L19))</f>
        <v/>
      </c>
      <c r="E21" s="17">
        <f>IF(OR(C21="In contract",C21="PC item",C21="PS"),N('Cost plan'!J19),0)</f>
        <v/>
      </c>
      <c r="F21" s="17">
        <f>IF(B21="",0,SUMIFS(Log!$F$6:$F$305,Log!$C$6:$C$305,$B21,Log!$D$6:$D$305,"Variation",Log!$J$6:$J$305,"Committed"))</f>
        <v/>
      </c>
      <c r="G21" s="17">
        <f>IF(B21="",0,SUMIFS(Log!$F$6:$F$305,Log!$C$6:$C$305,$B21,Log!$D$6:$D$305,"PS adjustment",Log!$J$6:$J$305,"Committed")+SUMIFS(Log!$F$6:$F$305,Log!$C$6:$C$305,$B21,Log!$D$6:$D$305,"PC adjustment",Log!$J$6:$J$305,"Committed"))</f>
        <v/>
      </c>
      <c r="H21" s="17">
        <f>IF(B21="",0,SUMIFS(Log!$F$6:$F$305,Log!$C$6:$C$305,$B21,Log!$D$6:$D$305,"Owner-supplied",Log!$J$6:$J$305,"Committed")+SUMIFS(Log!$F$6:$F$305,Log!$C$6:$C$305,$B21,Log!$D$6:$D$305,"Extra outside contract",Log!$J$6:$J$305,"Committed"))</f>
        <v/>
      </c>
      <c r="I21" s="17">
        <f>E21+F21+G21+H21</f>
        <v/>
      </c>
      <c r="J21" s="17">
        <f>IF(B21="",0,SUMIFS(Log!$F$6:$F$305,Log!$C$6:$C$305,$B21,Log!$J$6:$J$305,"Pending"))</f>
        <v/>
      </c>
      <c r="K21" s="16">
        <f>IF(OR(C21="Owner-supplied",C21="Outside contract"),MAX(0,N(D21)-H21-J21),0)</f>
        <v/>
      </c>
      <c r="L21" s="19">
        <f>I21+J21+N(K21)</f>
        <v/>
      </c>
      <c r="M21" s="17">
        <f>IF(B21="",0,L21-N(D21))</f>
        <v/>
      </c>
      <c r="N21" s="14" t="n"/>
    </row>
    <row r="22">
      <c r="A22" s="11">
        <f>IF('Cost plan'!A20="","",'Cost plan'!A20)</f>
        <v/>
      </c>
      <c r="B22" s="12">
        <f>IF('Cost plan'!B20="","",'Cost plan'!B20)</f>
        <v/>
      </c>
      <c r="C22" s="11">
        <f>IF(B22="","",'Cost plan'!F20&amp;"")</f>
        <v/>
      </c>
      <c r="D22" s="17">
        <f>IF(B22="","",N('Cost plan'!L20))</f>
        <v/>
      </c>
      <c r="E22" s="17">
        <f>IF(OR(C22="In contract",C22="PC item",C22="PS"),N('Cost plan'!J20),0)</f>
        <v/>
      </c>
      <c r="F22" s="17">
        <f>IF(B22="",0,SUMIFS(Log!$F$6:$F$305,Log!$C$6:$C$305,$B22,Log!$D$6:$D$305,"Variation",Log!$J$6:$J$305,"Committed"))</f>
        <v/>
      </c>
      <c r="G22" s="17">
        <f>IF(B22="",0,SUMIFS(Log!$F$6:$F$305,Log!$C$6:$C$305,$B22,Log!$D$6:$D$305,"PS adjustment",Log!$J$6:$J$305,"Committed")+SUMIFS(Log!$F$6:$F$305,Log!$C$6:$C$305,$B22,Log!$D$6:$D$305,"PC adjustment",Log!$J$6:$J$305,"Committed"))</f>
        <v/>
      </c>
      <c r="H22" s="17">
        <f>IF(B22="",0,SUMIFS(Log!$F$6:$F$305,Log!$C$6:$C$305,$B22,Log!$D$6:$D$305,"Owner-supplied",Log!$J$6:$J$305,"Committed")+SUMIFS(Log!$F$6:$F$305,Log!$C$6:$C$305,$B22,Log!$D$6:$D$305,"Extra outside contract",Log!$J$6:$J$305,"Committed"))</f>
        <v/>
      </c>
      <c r="I22" s="17">
        <f>E22+F22+G22+H22</f>
        <v/>
      </c>
      <c r="J22" s="17">
        <f>IF(B22="",0,SUMIFS(Log!$F$6:$F$305,Log!$C$6:$C$305,$B22,Log!$J$6:$J$305,"Pending"))</f>
        <v/>
      </c>
      <c r="K22" s="16">
        <f>IF(OR(C22="Owner-supplied",C22="Outside contract"),MAX(0,N(D22)-H22-J22),0)</f>
        <v/>
      </c>
      <c r="L22" s="19">
        <f>I22+J22+N(K22)</f>
        <v/>
      </c>
      <c r="M22" s="17">
        <f>IF(B22="",0,L22-N(D22))</f>
        <v/>
      </c>
      <c r="N22" s="14" t="n"/>
    </row>
    <row r="23">
      <c r="A23" s="11">
        <f>IF('Cost plan'!A21="","",'Cost plan'!A21)</f>
        <v/>
      </c>
      <c r="B23" s="12">
        <f>IF('Cost plan'!B21="","",'Cost plan'!B21)</f>
        <v/>
      </c>
      <c r="C23" s="11">
        <f>IF(B23="","",'Cost plan'!F21&amp;"")</f>
        <v/>
      </c>
      <c r="D23" s="17">
        <f>IF(B23="","",N('Cost plan'!L21))</f>
        <v/>
      </c>
      <c r="E23" s="17">
        <f>IF(OR(C23="In contract",C23="PC item",C23="PS"),N('Cost plan'!J21),0)</f>
        <v/>
      </c>
      <c r="F23" s="17">
        <f>IF(B23="",0,SUMIFS(Log!$F$6:$F$305,Log!$C$6:$C$305,$B23,Log!$D$6:$D$305,"Variation",Log!$J$6:$J$305,"Committed"))</f>
        <v/>
      </c>
      <c r="G23" s="17">
        <f>IF(B23="",0,SUMIFS(Log!$F$6:$F$305,Log!$C$6:$C$305,$B23,Log!$D$6:$D$305,"PS adjustment",Log!$J$6:$J$305,"Committed")+SUMIFS(Log!$F$6:$F$305,Log!$C$6:$C$305,$B23,Log!$D$6:$D$305,"PC adjustment",Log!$J$6:$J$305,"Committed"))</f>
        <v/>
      </c>
      <c r="H23" s="17">
        <f>IF(B23="",0,SUMIFS(Log!$F$6:$F$305,Log!$C$6:$C$305,$B23,Log!$D$6:$D$305,"Owner-supplied",Log!$J$6:$J$305,"Committed")+SUMIFS(Log!$F$6:$F$305,Log!$C$6:$C$305,$B23,Log!$D$6:$D$305,"Extra outside contract",Log!$J$6:$J$305,"Committed"))</f>
        <v/>
      </c>
      <c r="I23" s="17">
        <f>E23+F23+G23+H23</f>
        <v/>
      </c>
      <c r="J23" s="17">
        <f>IF(B23="",0,SUMIFS(Log!$F$6:$F$305,Log!$C$6:$C$305,$B23,Log!$J$6:$J$305,"Pending"))</f>
        <v/>
      </c>
      <c r="K23" s="16">
        <f>IF(OR(C23="Owner-supplied",C23="Outside contract"),MAX(0,N(D23)-H23-J23),0)</f>
        <v/>
      </c>
      <c r="L23" s="19">
        <f>I23+J23+N(K23)</f>
        <v/>
      </c>
      <c r="M23" s="17">
        <f>IF(B23="",0,L23-N(D23))</f>
        <v/>
      </c>
      <c r="N23" s="14" t="n"/>
    </row>
    <row r="24">
      <c r="A24" s="11">
        <f>IF('Cost plan'!A23="","",'Cost plan'!A23)</f>
        <v/>
      </c>
      <c r="B24" s="12">
        <f>IF('Cost plan'!B23="","",'Cost plan'!B23)</f>
        <v/>
      </c>
      <c r="C24" s="11">
        <f>IF(B24="","",'Cost plan'!F23&amp;"")</f>
        <v/>
      </c>
      <c r="D24" s="17">
        <f>IF(B24="","",N('Cost plan'!L23))</f>
        <v/>
      </c>
      <c r="E24" s="17">
        <f>IF(OR(C24="In contract",C24="PC item",C24="PS"),N('Cost plan'!J23),0)</f>
        <v/>
      </c>
      <c r="F24" s="17">
        <f>IF(B24="",0,SUMIFS(Log!$F$6:$F$305,Log!$C$6:$C$305,$B24,Log!$D$6:$D$305,"Variation",Log!$J$6:$J$305,"Committed"))</f>
        <v/>
      </c>
      <c r="G24" s="17">
        <f>IF(B24="",0,SUMIFS(Log!$F$6:$F$305,Log!$C$6:$C$305,$B24,Log!$D$6:$D$305,"PS adjustment",Log!$J$6:$J$305,"Committed")+SUMIFS(Log!$F$6:$F$305,Log!$C$6:$C$305,$B24,Log!$D$6:$D$305,"PC adjustment",Log!$J$6:$J$305,"Committed"))</f>
        <v/>
      </c>
      <c r="H24" s="17">
        <f>IF(B24="",0,SUMIFS(Log!$F$6:$F$305,Log!$C$6:$C$305,$B24,Log!$D$6:$D$305,"Owner-supplied",Log!$J$6:$J$305,"Committed")+SUMIFS(Log!$F$6:$F$305,Log!$C$6:$C$305,$B24,Log!$D$6:$D$305,"Extra outside contract",Log!$J$6:$J$305,"Committed"))</f>
        <v/>
      </c>
      <c r="I24" s="17">
        <f>E24+F24+G24+H24</f>
        <v/>
      </c>
      <c r="J24" s="17">
        <f>IF(B24="",0,SUMIFS(Log!$F$6:$F$305,Log!$C$6:$C$305,$B24,Log!$J$6:$J$305,"Pending"))</f>
        <v/>
      </c>
      <c r="K24" s="16">
        <f>IF(OR(C24="Owner-supplied",C24="Outside contract"),MAX(0,N(D24)-H24-J24),0)</f>
        <v/>
      </c>
      <c r="L24" s="19">
        <f>I24+J24+N(K24)</f>
        <v/>
      </c>
      <c r="M24" s="17">
        <f>IF(B24="",0,L24-N(D24))</f>
        <v/>
      </c>
      <c r="N24" s="14" t="n"/>
    </row>
    <row r="25">
      <c r="A25" s="11">
        <f>IF('Cost plan'!A24="","",'Cost plan'!A24)</f>
        <v/>
      </c>
      <c r="B25" s="12">
        <f>IF('Cost plan'!B24="","",'Cost plan'!B24)</f>
        <v/>
      </c>
      <c r="C25" s="11">
        <f>IF(B25="","",'Cost plan'!F24&amp;"")</f>
        <v/>
      </c>
      <c r="D25" s="17">
        <f>IF(B25="","",N('Cost plan'!L24))</f>
        <v/>
      </c>
      <c r="E25" s="17">
        <f>IF(OR(C25="In contract",C25="PC item",C25="PS"),N('Cost plan'!J24),0)</f>
        <v/>
      </c>
      <c r="F25" s="17">
        <f>IF(B25="",0,SUMIFS(Log!$F$6:$F$305,Log!$C$6:$C$305,$B25,Log!$D$6:$D$305,"Variation",Log!$J$6:$J$305,"Committed"))</f>
        <v/>
      </c>
      <c r="G25" s="17">
        <f>IF(B25="",0,SUMIFS(Log!$F$6:$F$305,Log!$C$6:$C$305,$B25,Log!$D$6:$D$305,"PS adjustment",Log!$J$6:$J$305,"Committed")+SUMIFS(Log!$F$6:$F$305,Log!$C$6:$C$305,$B25,Log!$D$6:$D$305,"PC adjustment",Log!$J$6:$J$305,"Committed"))</f>
        <v/>
      </c>
      <c r="H25" s="17">
        <f>IF(B25="",0,SUMIFS(Log!$F$6:$F$305,Log!$C$6:$C$305,$B25,Log!$D$6:$D$305,"Owner-supplied",Log!$J$6:$J$305,"Committed")+SUMIFS(Log!$F$6:$F$305,Log!$C$6:$C$305,$B25,Log!$D$6:$D$305,"Extra outside contract",Log!$J$6:$J$305,"Committed"))</f>
        <v/>
      </c>
      <c r="I25" s="17">
        <f>E25+F25+G25+H25</f>
        <v/>
      </c>
      <c r="J25" s="17">
        <f>IF(B25="",0,SUMIFS(Log!$F$6:$F$305,Log!$C$6:$C$305,$B25,Log!$J$6:$J$305,"Pending"))</f>
        <v/>
      </c>
      <c r="K25" s="16">
        <f>IF(OR(C25="Owner-supplied",C25="Outside contract"),MAX(0,N(D25)-H25-J25),0)</f>
        <v/>
      </c>
      <c r="L25" s="19">
        <f>I25+J25+N(K25)</f>
        <v/>
      </c>
      <c r="M25" s="17">
        <f>IF(B25="",0,L25-N(D25))</f>
        <v/>
      </c>
      <c r="N25" s="14" t="n"/>
    </row>
    <row r="26">
      <c r="A26" s="11">
        <f>IF('Cost plan'!A25="","",'Cost plan'!A25)</f>
        <v/>
      </c>
      <c r="B26" s="12">
        <f>IF('Cost plan'!B25="","",'Cost plan'!B25)</f>
        <v/>
      </c>
      <c r="C26" s="11">
        <f>IF(B26="","",'Cost plan'!F25&amp;"")</f>
        <v/>
      </c>
      <c r="D26" s="17">
        <f>IF(B26="","",N('Cost plan'!L25))</f>
        <v/>
      </c>
      <c r="E26" s="17">
        <f>IF(OR(C26="In contract",C26="PC item",C26="PS"),N('Cost plan'!J25),0)</f>
        <v/>
      </c>
      <c r="F26" s="17">
        <f>IF(B26="",0,SUMIFS(Log!$F$6:$F$305,Log!$C$6:$C$305,$B26,Log!$D$6:$D$305,"Variation",Log!$J$6:$J$305,"Committed"))</f>
        <v/>
      </c>
      <c r="G26" s="17">
        <f>IF(B26="",0,SUMIFS(Log!$F$6:$F$305,Log!$C$6:$C$305,$B26,Log!$D$6:$D$305,"PS adjustment",Log!$J$6:$J$305,"Committed")+SUMIFS(Log!$F$6:$F$305,Log!$C$6:$C$305,$B26,Log!$D$6:$D$305,"PC adjustment",Log!$J$6:$J$305,"Committed"))</f>
        <v/>
      </c>
      <c r="H26" s="17">
        <f>IF(B26="",0,SUMIFS(Log!$F$6:$F$305,Log!$C$6:$C$305,$B26,Log!$D$6:$D$305,"Owner-supplied",Log!$J$6:$J$305,"Committed")+SUMIFS(Log!$F$6:$F$305,Log!$C$6:$C$305,$B26,Log!$D$6:$D$305,"Extra outside contract",Log!$J$6:$J$305,"Committed"))</f>
        <v/>
      </c>
      <c r="I26" s="17">
        <f>E26+F26+G26+H26</f>
        <v/>
      </c>
      <c r="J26" s="17">
        <f>IF(B26="",0,SUMIFS(Log!$F$6:$F$305,Log!$C$6:$C$305,$B26,Log!$J$6:$J$305,"Pending"))</f>
        <v/>
      </c>
      <c r="K26" s="16">
        <f>IF(OR(C26="Owner-supplied",C26="Outside contract"),MAX(0,N(D26)-H26-J26),0)</f>
        <v/>
      </c>
      <c r="L26" s="19">
        <f>I26+J26+N(K26)</f>
        <v/>
      </c>
      <c r="M26" s="17">
        <f>IF(B26="",0,L26-N(D26))</f>
        <v/>
      </c>
      <c r="N26" s="14" t="n"/>
    </row>
    <row r="27">
      <c r="A27" s="11">
        <f>IF('Cost plan'!A26="","",'Cost plan'!A26)</f>
        <v/>
      </c>
      <c r="B27" s="12">
        <f>IF('Cost plan'!B26="","",'Cost plan'!B26)</f>
        <v/>
      </c>
      <c r="C27" s="11">
        <f>IF(B27="","",'Cost plan'!F26&amp;"")</f>
        <v/>
      </c>
      <c r="D27" s="17">
        <f>IF(B27="","",N('Cost plan'!L26))</f>
        <v/>
      </c>
      <c r="E27" s="17">
        <f>IF(OR(C27="In contract",C27="PC item",C27="PS"),N('Cost plan'!J26),0)</f>
        <v/>
      </c>
      <c r="F27" s="17">
        <f>IF(B27="",0,SUMIFS(Log!$F$6:$F$305,Log!$C$6:$C$305,$B27,Log!$D$6:$D$305,"Variation",Log!$J$6:$J$305,"Committed"))</f>
        <v/>
      </c>
      <c r="G27" s="17">
        <f>IF(B27="",0,SUMIFS(Log!$F$6:$F$305,Log!$C$6:$C$305,$B27,Log!$D$6:$D$305,"PS adjustment",Log!$J$6:$J$305,"Committed")+SUMIFS(Log!$F$6:$F$305,Log!$C$6:$C$305,$B27,Log!$D$6:$D$305,"PC adjustment",Log!$J$6:$J$305,"Committed"))</f>
        <v/>
      </c>
      <c r="H27" s="17">
        <f>IF(B27="",0,SUMIFS(Log!$F$6:$F$305,Log!$C$6:$C$305,$B27,Log!$D$6:$D$305,"Owner-supplied",Log!$J$6:$J$305,"Committed")+SUMIFS(Log!$F$6:$F$305,Log!$C$6:$C$305,$B27,Log!$D$6:$D$305,"Extra outside contract",Log!$J$6:$J$305,"Committed"))</f>
        <v/>
      </c>
      <c r="I27" s="17">
        <f>E27+F27+G27+H27</f>
        <v/>
      </c>
      <c r="J27" s="17">
        <f>IF(B27="",0,SUMIFS(Log!$F$6:$F$305,Log!$C$6:$C$305,$B27,Log!$J$6:$J$305,"Pending"))</f>
        <v/>
      </c>
      <c r="K27" s="16" t="n">
        <v>713</v>
      </c>
      <c r="L27" s="19">
        <f>I27+J27+N(K27)</f>
        <v/>
      </c>
      <c r="M27" s="17">
        <f>IF(B27="",0,L27-N(D27))</f>
        <v/>
      </c>
      <c r="N27" s="14" t="inlineStr">
        <is>
          <t>Expected adjustment on the open PS (rest of the PC/PS items)</t>
        </is>
      </c>
    </row>
    <row r="28">
      <c r="A28" s="11">
        <f>IF('Cost plan'!A27="","",'Cost plan'!A27)</f>
        <v/>
      </c>
      <c r="B28" s="12">
        <f>IF('Cost plan'!B27="","",'Cost plan'!B27)</f>
        <v/>
      </c>
      <c r="C28" s="11">
        <f>IF(B28="","",'Cost plan'!F27&amp;"")</f>
        <v/>
      </c>
      <c r="D28" s="17">
        <f>IF(B28="","",N('Cost plan'!L27))</f>
        <v/>
      </c>
      <c r="E28" s="17">
        <f>IF(OR(C28="In contract",C28="PC item",C28="PS"),N('Cost plan'!J27),0)</f>
        <v/>
      </c>
      <c r="F28" s="17">
        <f>IF(B28="",0,SUMIFS(Log!$F$6:$F$305,Log!$C$6:$C$305,$B28,Log!$D$6:$D$305,"Variation",Log!$J$6:$J$305,"Committed"))</f>
        <v/>
      </c>
      <c r="G28" s="17">
        <f>IF(B28="",0,SUMIFS(Log!$F$6:$F$305,Log!$C$6:$C$305,$B28,Log!$D$6:$D$305,"PS adjustment",Log!$J$6:$J$305,"Committed")+SUMIFS(Log!$F$6:$F$305,Log!$C$6:$C$305,$B28,Log!$D$6:$D$305,"PC adjustment",Log!$J$6:$J$305,"Committed"))</f>
        <v/>
      </c>
      <c r="H28" s="17">
        <f>IF(B28="",0,SUMIFS(Log!$F$6:$F$305,Log!$C$6:$C$305,$B28,Log!$D$6:$D$305,"Owner-supplied",Log!$J$6:$J$305,"Committed")+SUMIFS(Log!$F$6:$F$305,Log!$C$6:$C$305,$B28,Log!$D$6:$D$305,"Extra outside contract",Log!$J$6:$J$305,"Committed"))</f>
        <v/>
      </c>
      <c r="I28" s="17">
        <f>E28+F28+G28+H28</f>
        <v/>
      </c>
      <c r="J28" s="17">
        <f>IF(B28="",0,SUMIFS(Log!$F$6:$F$305,Log!$C$6:$C$305,$B28,Log!$J$6:$J$305,"Pending"))</f>
        <v/>
      </c>
      <c r="K28" s="16">
        <f>IF(OR(C28="Owner-supplied",C28="Outside contract"),MAX(0,N(D28)-H28-J28),0)</f>
        <v/>
      </c>
      <c r="L28" s="19">
        <f>I28+J28+N(K28)</f>
        <v/>
      </c>
      <c r="M28" s="17">
        <f>IF(B28="",0,L28-N(D28))</f>
        <v/>
      </c>
      <c r="N28" s="14" t="n"/>
    </row>
    <row r="29">
      <c r="A29" s="11">
        <f>IF('Cost plan'!A28="","",'Cost plan'!A28)</f>
        <v/>
      </c>
      <c r="B29" s="12">
        <f>IF('Cost plan'!B28="","",'Cost plan'!B28)</f>
        <v/>
      </c>
      <c r="C29" s="11">
        <f>IF(B29="","",'Cost plan'!F28&amp;"")</f>
        <v/>
      </c>
      <c r="D29" s="17">
        <f>IF(B29="","",N('Cost plan'!L28))</f>
        <v/>
      </c>
      <c r="E29" s="17">
        <f>IF(OR(C29="In contract",C29="PC item",C29="PS"),N('Cost plan'!J28),0)</f>
        <v/>
      </c>
      <c r="F29" s="17">
        <f>IF(B29="",0,SUMIFS(Log!$F$6:$F$305,Log!$C$6:$C$305,$B29,Log!$D$6:$D$305,"Variation",Log!$J$6:$J$305,"Committed"))</f>
        <v/>
      </c>
      <c r="G29" s="17">
        <f>IF(B29="",0,SUMIFS(Log!$F$6:$F$305,Log!$C$6:$C$305,$B29,Log!$D$6:$D$305,"PS adjustment",Log!$J$6:$J$305,"Committed")+SUMIFS(Log!$F$6:$F$305,Log!$C$6:$C$305,$B29,Log!$D$6:$D$305,"PC adjustment",Log!$J$6:$J$305,"Committed"))</f>
        <v/>
      </c>
      <c r="H29" s="17">
        <f>IF(B29="",0,SUMIFS(Log!$F$6:$F$305,Log!$C$6:$C$305,$B29,Log!$D$6:$D$305,"Owner-supplied",Log!$J$6:$J$305,"Committed")+SUMIFS(Log!$F$6:$F$305,Log!$C$6:$C$305,$B29,Log!$D$6:$D$305,"Extra outside contract",Log!$J$6:$J$305,"Committed"))</f>
        <v/>
      </c>
      <c r="I29" s="17">
        <f>E29+F29+G29+H29</f>
        <v/>
      </c>
      <c r="J29" s="17">
        <f>IF(B29="",0,SUMIFS(Log!$F$6:$F$305,Log!$C$6:$C$305,$B29,Log!$J$6:$J$305,"Pending"))</f>
        <v/>
      </c>
      <c r="K29" s="16">
        <f>IF(OR(C29="Owner-supplied",C29="Outside contract"),MAX(0,N(D29)-H29-J29),0)</f>
        <v/>
      </c>
      <c r="L29" s="19">
        <f>I29+J29+N(K29)</f>
        <v/>
      </c>
      <c r="M29" s="17">
        <f>IF(B29="",0,L29-N(D29))</f>
        <v/>
      </c>
      <c r="N29" s="14" t="n"/>
    </row>
    <row r="30">
      <c r="A30" s="11">
        <f>IF('Cost plan'!A29="","",'Cost plan'!A29)</f>
        <v/>
      </c>
      <c r="B30" s="12">
        <f>IF('Cost plan'!B29="","",'Cost plan'!B29)</f>
        <v/>
      </c>
      <c r="C30" s="11">
        <f>IF(B30="","",'Cost plan'!F29&amp;"")</f>
        <v/>
      </c>
      <c r="D30" s="17">
        <f>IF(B30="","",N('Cost plan'!L29))</f>
        <v/>
      </c>
      <c r="E30" s="17">
        <f>IF(OR(C30="In contract",C30="PC item",C30="PS"),N('Cost plan'!J29),0)</f>
        <v/>
      </c>
      <c r="F30" s="17">
        <f>IF(B30="",0,SUMIFS(Log!$F$6:$F$305,Log!$C$6:$C$305,$B30,Log!$D$6:$D$305,"Variation",Log!$J$6:$J$305,"Committed"))</f>
        <v/>
      </c>
      <c r="G30" s="17">
        <f>IF(B30="",0,SUMIFS(Log!$F$6:$F$305,Log!$C$6:$C$305,$B30,Log!$D$6:$D$305,"PS adjustment",Log!$J$6:$J$305,"Committed")+SUMIFS(Log!$F$6:$F$305,Log!$C$6:$C$305,$B30,Log!$D$6:$D$305,"PC adjustment",Log!$J$6:$J$305,"Committed"))</f>
        <v/>
      </c>
      <c r="H30" s="17">
        <f>IF(B30="",0,SUMIFS(Log!$F$6:$F$305,Log!$C$6:$C$305,$B30,Log!$D$6:$D$305,"Owner-supplied",Log!$J$6:$J$305,"Committed")+SUMIFS(Log!$F$6:$F$305,Log!$C$6:$C$305,$B30,Log!$D$6:$D$305,"Extra outside contract",Log!$J$6:$J$305,"Committed"))</f>
        <v/>
      </c>
      <c r="I30" s="17">
        <f>E30+F30+G30+H30</f>
        <v/>
      </c>
      <c r="J30" s="17">
        <f>IF(B30="",0,SUMIFS(Log!$F$6:$F$305,Log!$C$6:$C$305,$B30,Log!$J$6:$J$305,"Pending"))</f>
        <v/>
      </c>
      <c r="K30" s="16">
        <f>IF(OR(C30="Owner-supplied",C30="Outside contract"),MAX(0,N(D30)-H30-J30),0)</f>
        <v/>
      </c>
      <c r="L30" s="19">
        <f>I30+J30+N(K30)</f>
        <v/>
      </c>
      <c r="M30" s="17">
        <f>IF(B30="",0,L30-N(D30))</f>
        <v/>
      </c>
      <c r="N30" s="14" t="n"/>
    </row>
    <row r="31">
      <c r="A31" s="11">
        <f>IF('Cost plan'!A30="","",'Cost plan'!A30)</f>
        <v/>
      </c>
      <c r="B31" s="12">
        <f>IF('Cost plan'!B30="","",'Cost plan'!B30)</f>
        <v/>
      </c>
      <c r="C31" s="11">
        <f>IF(B31="","",'Cost plan'!F30&amp;"")</f>
        <v/>
      </c>
      <c r="D31" s="17">
        <f>IF(B31="","",N('Cost plan'!L30))</f>
        <v/>
      </c>
      <c r="E31" s="17">
        <f>IF(OR(C31="In contract",C31="PC item",C31="PS"),N('Cost plan'!J30),0)</f>
        <v/>
      </c>
      <c r="F31" s="17">
        <f>IF(B31="",0,SUMIFS(Log!$F$6:$F$305,Log!$C$6:$C$305,$B31,Log!$D$6:$D$305,"Variation",Log!$J$6:$J$305,"Committed"))</f>
        <v/>
      </c>
      <c r="G31" s="17">
        <f>IF(B31="",0,SUMIFS(Log!$F$6:$F$305,Log!$C$6:$C$305,$B31,Log!$D$6:$D$305,"PS adjustment",Log!$J$6:$J$305,"Committed")+SUMIFS(Log!$F$6:$F$305,Log!$C$6:$C$305,$B31,Log!$D$6:$D$305,"PC adjustment",Log!$J$6:$J$305,"Committed"))</f>
        <v/>
      </c>
      <c r="H31" s="17">
        <f>IF(B31="",0,SUMIFS(Log!$F$6:$F$305,Log!$C$6:$C$305,$B31,Log!$D$6:$D$305,"Owner-supplied",Log!$J$6:$J$305,"Committed")+SUMIFS(Log!$F$6:$F$305,Log!$C$6:$C$305,$B31,Log!$D$6:$D$305,"Extra outside contract",Log!$J$6:$J$305,"Committed"))</f>
        <v/>
      </c>
      <c r="I31" s="17">
        <f>E31+F31+G31+H31</f>
        <v/>
      </c>
      <c r="J31" s="17">
        <f>IF(B31="",0,SUMIFS(Log!$F$6:$F$305,Log!$C$6:$C$305,$B31,Log!$J$6:$J$305,"Pending"))</f>
        <v/>
      </c>
      <c r="K31" s="16">
        <f>IF(OR(C31="Owner-supplied",C31="Outside contract"),MAX(0,N(D31)-H31-J31),0)</f>
        <v/>
      </c>
      <c r="L31" s="19">
        <f>I31+J31+N(K31)</f>
        <v/>
      </c>
      <c r="M31" s="17">
        <f>IF(B31="",0,L31-N(D31))</f>
        <v/>
      </c>
      <c r="N31" s="14" t="n"/>
    </row>
    <row r="32">
      <c r="A32" s="11">
        <f>IF('Cost plan'!A31="","",'Cost plan'!A31)</f>
        <v/>
      </c>
      <c r="B32" s="12">
        <f>IF('Cost plan'!B31="","",'Cost plan'!B31)</f>
        <v/>
      </c>
      <c r="C32" s="11">
        <f>IF(B32="","",'Cost plan'!F31&amp;"")</f>
        <v/>
      </c>
      <c r="D32" s="17">
        <f>IF(B32="","",N('Cost plan'!L31))</f>
        <v/>
      </c>
      <c r="E32" s="17">
        <f>IF(OR(C32="In contract",C32="PC item",C32="PS"),N('Cost plan'!J31),0)</f>
        <v/>
      </c>
      <c r="F32" s="17">
        <f>IF(B32="",0,SUMIFS(Log!$F$6:$F$305,Log!$C$6:$C$305,$B32,Log!$D$6:$D$305,"Variation",Log!$J$6:$J$305,"Committed"))</f>
        <v/>
      </c>
      <c r="G32" s="17">
        <f>IF(B32="",0,SUMIFS(Log!$F$6:$F$305,Log!$C$6:$C$305,$B32,Log!$D$6:$D$305,"PS adjustment",Log!$J$6:$J$305,"Committed")+SUMIFS(Log!$F$6:$F$305,Log!$C$6:$C$305,$B32,Log!$D$6:$D$305,"PC adjustment",Log!$J$6:$J$305,"Committed"))</f>
        <v/>
      </c>
      <c r="H32" s="17">
        <f>IF(B32="",0,SUMIFS(Log!$F$6:$F$305,Log!$C$6:$C$305,$B32,Log!$D$6:$D$305,"Owner-supplied",Log!$J$6:$J$305,"Committed")+SUMIFS(Log!$F$6:$F$305,Log!$C$6:$C$305,$B32,Log!$D$6:$D$305,"Extra outside contract",Log!$J$6:$J$305,"Committed"))</f>
        <v/>
      </c>
      <c r="I32" s="17">
        <f>E32+F32+G32+H32</f>
        <v/>
      </c>
      <c r="J32" s="17">
        <f>IF(B32="",0,SUMIFS(Log!$F$6:$F$305,Log!$C$6:$C$305,$B32,Log!$J$6:$J$305,"Pending"))</f>
        <v/>
      </c>
      <c r="K32" s="16">
        <f>IF(OR(C32="Owner-supplied",C32="Outside contract"),MAX(0,N(D32)-H32-J32),0)</f>
        <v/>
      </c>
      <c r="L32" s="19">
        <f>I32+J32+N(K32)</f>
        <v/>
      </c>
      <c r="M32" s="17">
        <f>IF(B32="",0,L32-N(D32))</f>
        <v/>
      </c>
      <c r="N32" s="14" t="n"/>
    </row>
    <row r="33">
      <c r="A33" s="11">
        <f>IF('Cost plan'!A32="","",'Cost plan'!A32)</f>
        <v/>
      </c>
      <c r="B33" s="12">
        <f>IF('Cost plan'!B32="","",'Cost plan'!B32)</f>
        <v/>
      </c>
      <c r="C33" s="11">
        <f>IF(B33="","",'Cost plan'!F32&amp;"")</f>
        <v/>
      </c>
      <c r="D33" s="17">
        <f>IF(B33="","",N('Cost plan'!L32))</f>
        <v/>
      </c>
      <c r="E33" s="17">
        <f>IF(OR(C33="In contract",C33="PC item",C33="PS"),N('Cost plan'!J32),0)</f>
        <v/>
      </c>
      <c r="F33" s="17">
        <f>IF(B33="",0,SUMIFS(Log!$F$6:$F$305,Log!$C$6:$C$305,$B33,Log!$D$6:$D$305,"Variation",Log!$J$6:$J$305,"Committed"))</f>
        <v/>
      </c>
      <c r="G33" s="17">
        <f>IF(B33="",0,SUMIFS(Log!$F$6:$F$305,Log!$C$6:$C$305,$B33,Log!$D$6:$D$305,"PS adjustment",Log!$J$6:$J$305,"Committed")+SUMIFS(Log!$F$6:$F$305,Log!$C$6:$C$305,$B33,Log!$D$6:$D$305,"PC adjustment",Log!$J$6:$J$305,"Committed"))</f>
        <v/>
      </c>
      <c r="H33" s="17">
        <f>IF(B33="",0,SUMIFS(Log!$F$6:$F$305,Log!$C$6:$C$305,$B33,Log!$D$6:$D$305,"Owner-supplied",Log!$J$6:$J$305,"Committed")+SUMIFS(Log!$F$6:$F$305,Log!$C$6:$C$305,$B33,Log!$D$6:$D$305,"Extra outside contract",Log!$J$6:$J$305,"Committed"))</f>
        <v/>
      </c>
      <c r="I33" s="17">
        <f>E33+F33+G33+H33</f>
        <v/>
      </c>
      <c r="J33" s="17">
        <f>IF(B33="",0,SUMIFS(Log!$F$6:$F$305,Log!$C$6:$C$305,$B33,Log!$J$6:$J$305,"Pending"))</f>
        <v/>
      </c>
      <c r="K33" s="16">
        <f>IF(OR(C33="Owner-supplied",C33="Outside contract"),MAX(0,N(D33)-H33-J33),0)</f>
        <v/>
      </c>
      <c r="L33" s="19">
        <f>I33+J33+N(K33)</f>
        <v/>
      </c>
      <c r="M33" s="17">
        <f>IF(B33="",0,L33-N(D33))</f>
        <v/>
      </c>
      <c r="N33" s="14" t="n"/>
    </row>
    <row r="34">
      <c r="A34" s="11">
        <f>IF('Cost plan'!A33="","",'Cost plan'!A33)</f>
        <v/>
      </c>
      <c r="B34" s="12">
        <f>IF('Cost plan'!B33="","",'Cost plan'!B33)</f>
        <v/>
      </c>
      <c r="C34" s="11">
        <f>IF(B34="","",'Cost plan'!F33&amp;"")</f>
        <v/>
      </c>
      <c r="D34" s="17">
        <f>IF(B34="","",N('Cost plan'!L33))</f>
        <v/>
      </c>
      <c r="E34" s="17">
        <f>IF(OR(C34="In contract",C34="PC item",C34="PS"),N('Cost plan'!J33),0)</f>
        <v/>
      </c>
      <c r="F34" s="17">
        <f>IF(B34="",0,SUMIFS(Log!$F$6:$F$305,Log!$C$6:$C$305,$B34,Log!$D$6:$D$305,"Variation",Log!$J$6:$J$305,"Committed"))</f>
        <v/>
      </c>
      <c r="G34" s="17">
        <f>IF(B34="",0,SUMIFS(Log!$F$6:$F$305,Log!$C$6:$C$305,$B34,Log!$D$6:$D$305,"PS adjustment",Log!$J$6:$J$305,"Committed")+SUMIFS(Log!$F$6:$F$305,Log!$C$6:$C$305,$B34,Log!$D$6:$D$305,"PC adjustment",Log!$J$6:$J$305,"Committed"))</f>
        <v/>
      </c>
      <c r="H34" s="17">
        <f>IF(B34="",0,SUMIFS(Log!$F$6:$F$305,Log!$C$6:$C$305,$B34,Log!$D$6:$D$305,"Owner-supplied",Log!$J$6:$J$305,"Committed")+SUMIFS(Log!$F$6:$F$305,Log!$C$6:$C$305,$B34,Log!$D$6:$D$305,"Extra outside contract",Log!$J$6:$J$305,"Committed"))</f>
        <v/>
      </c>
      <c r="I34" s="17">
        <f>E34+F34+G34+H34</f>
        <v/>
      </c>
      <c r="J34" s="17">
        <f>IF(B34="",0,SUMIFS(Log!$F$6:$F$305,Log!$C$6:$C$305,$B34,Log!$J$6:$J$305,"Pending"))</f>
        <v/>
      </c>
      <c r="K34" s="16">
        <f>IF(OR(C34="Owner-supplied",C34="Outside contract"),MAX(0,N(D34)-H34-J34),0)</f>
        <v/>
      </c>
      <c r="L34" s="19">
        <f>I34+J34+N(K34)</f>
        <v/>
      </c>
      <c r="M34" s="17">
        <f>IF(B34="",0,L34-N(D34))</f>
        <v/>
      </c>
      <c r="N34" s="14" t="n"/>
    </row>
    <row r="35">
      <c r="A35" s="11">
        <f>IF('Cost plan'!A34="","",'Cost plan'!A34)</f>
        <v/>
      </c>
      <c r="B35" s="12">
        <f>IF('Cost plan'!B34="","",'Cost plan'!B34)</f>
        <v/>
      </c>
      <c r="C35" s="11">
        <f>IF(B35="","",'Cost plan'!F34&amp;"")</f>
        <v/>
      </c>
      <c r="D35" s="17">
        <f>IF(B35="","",N('Cost plan'!L34))</f>
        <v/>
      </c>
      <c r="E35" s="17">
        <f>IF(OR(C35="In contract",C35="PC item",C35="PS"),N('Cost plan'!J34),0)</f>
        <v/>
      </c>
      <c r="F35" s="17">
        <f>IF(B35="",0,SUMIFS(Log!$F$6:$F$305,Log!$C$6:$C$305,$B35,Log!$D$6:$D$305,"Variation",Log!$J$6:$J$305,"Committed"))</f>
        <v/>
      </c>
      <c r="G35" s="17">
        <f>IF(B35="",0,SUMIFS(Log!$F$6:$F$305,Log!$C$6:$C$305,$B35,Log!$D$6:$D$305,"PS adjustment",Log!$J$6:$J$305,"Committed")+SUMIFS(Log!$F$6:$F$305,Log!$C$6:$C$305,$B35,Log!$D$6:$D$305,"PC adjustment",Log!$J$6:$J$305,"Committed"))</f>
        <v/>
      </c>
      <c r="H35" s="17">
        <f>IF(B35="",0,SUMIFS(Log!$F$6:$F$305,Log!$C$6:$C$305,$B35,Log!$D$6:$D$305,"Owner-supplied",Log!$J$6:$J$305,"Committed")+SUMIFS(Log!$F$6:$F$305,Log!$C$6:$C$305,$B35,Log!$D$6:$D$305,"Extra outside contract",Log!$J$6:$J$305,"Committed"))</f>
        <v/>
      </c>
      <c r="I35" s="17">
        <f>E35+F35+G35+H35</f>
        <v/>
      </c>
      <c r="J35" s="17">
        <f>IF(B35="",0,SUMIFS(Log!$F$6:$F$305,Log!$C$6:$C$305,$B35,Log!$J$6:$J$305,"Pending"))</f>
        <v/>
      </c>
      <c r="K35" s="16">
        <f>IF(OR(C35="Owner-supplied",C35="Outside contract"),MAX(0,N(D35)-H35-J35),0)</f>
        <v/>
      </c>
      <c r="L35" s="19">
        <f>I35+J35+N(K35)</f>
        <v/>
      </c>
      <c r="M35" s="17">
        <f>IF(B35="",0,L35-N(D35))</f>
        <v/>
      </c>
      <c r="N35" s="14" t="n"/>
    </row>
    <row r="36">
      <c r="A36" s="32" t="inlineStr">
        <is>
          <t>Totals</t>
        </is>
      </c>
      <c r="D36" s="33">
        <f>SUM(D8:D35)</f>
        <v/>
      </c>
      <c r="E36" s="33">
        <f>SUM(E8:E35)</f>
        <v/>
      </c>
      <c r="F36" s="33">
        <f>SUM(F8:F35)</f>
        <v/>
      </c>
      <c r="G36" s="33">
        <f>SUM(G8:G35)</f>
        <v/>
      </c>
      <c r="H36" s="33">
        <f>SUM(H8:H35)</f>
        <v/>
      </c>
      <c r="I36" s="33">
        <f>SUM(I8:I35)</f>
        <v/>
      </c>
      <c r="J36" s="33">
        <f>SUM(J8:J35)</f>
        <v/>
      </c>
      <c r="K36" s="33">
        <f>SUM(K8:K35)</f>
        <v/>
      </c>
      <c r="L36" s="33">
        <f>SUM(L8:L35)</f>
        <v/>
      </c>
      <c r="M36" s="33">
        <f>SUM(M8:M35)</f>
        <v/>
      </c>
      <c r="N36" s="34" t="n"/>
    </row>
    <row r="38">
      <c r="A38" s="5" t="inlineStr">
        <is>
          <t>Summary in the book's format (3.6): forecast final cost = contract price + approved variations + PC/PS adjustments + owner-supplied items + extras outside the contract</t>
        </is>
      </c>
    </row>
    <row r="39" ht="32" customHeight="1">
      <c r="A39" s="10" t="inlineStr">
        <is>
          <t>Line</t>
        </is>
      </c>
      <c r="B39" s="35" t="n"/>
      <c r="C39" s="23" t="n"/>
      <c r="D39" s="10" t="inlineStr">
        <is>
          <t>Budget at contract</t>
        </is>
      </c>
      <c r="E39" s="10" t="inlineStr">
        <is>
          <t>Spent or committed to date</t>
        </is>
      </c>
      <c r="F39" s="10" t="inlineStr">
        <is>
          <t>Forecast final</t>
        </is>
      </c>
    </row>
    <row r="40">
      <c r="A40" s="13" t="inlineStr">
        <is>
          <t>1. Contract price</t>
        </is>
      </c>
      <c r="B40" s="13" t="n"/>
      <c r="C40" s="13" t="n"/>
      <c r="D40" s="17">
        <f>SUMIFS($D$8:$D$35,$C$8:$C$35,"In contract")+SUMIFS($D$8:$D$35,$C$8:$C$35,"PC item")+SUMIFS($D$8:$D$35,$C$8:$C$35,"PS")</f>
        <v/>
      </c>
      <c r="E40" s="17">
        <f>E36</f>
        <v/>
      </c>
      <c r="F40" s="17">
        <f>E36</f>
        <v/>
      </c>
    </row>
    <row r="41">
      <c r="A41" s="13" t="inlineStr">
        <is>
          <t>2. Approved variations</t>
        </is>
      </c>
      <c r="B41" s="13" t="n"/>
      <c r="C41" s="13" t="n"/>
      <c r="D41" s="17" t="n">
        <v>0</v>
      </c>
      <c r="E41" s="17">
        <f>F36</f>
        <v/>
      </c>
      <c r="F41" s="17">
        <f>F36+SUMIFS(Log!$F$6:$F$305,Log!$D$6:$D$305,"Variation",Log!$J$6:$J$305,"Pending")+SUMIFS($K$8:$K$35,$C$8:$C$35,"In contract")</f>
        <v/>
      </c>
    </row>
    <row r="42">
      <c r="A42" s="13" t="inlineStr">
        <is>
          <t>3. PC/PS adjustments</t>
        </is>
      </c>
      <c r="B42" s="13" t="n"/>
      <c r="C42" s="13" t="n"/>
      <c r="D42" s="17" t="n">
        <v>0</v>
      </c>
      <c r="E42" s="17">
        <f>G36</f>
        <v/>
      </c>
      <c r="F42" s="17">
        <f>G36+SUMIFS(Log!$F$6:$F$305,Log!$D$6:$D$305,"PS adjustment",Log!$J$6:$J$305,"Pending")+SUMIFS(Log!$F$6:$F$305,Log!$D$6:$D$305,"PC adjustment",Log!$J$6:$J$305,"Pending")+SUMIFS($K$8:$K$35,$C$8:$C$35,"PC item")+SUMIFS($K$8:$K$35,$C$8:$C$35,"PS")</f>
        <v/>
      </c>
    </row>
    <row r="43">
      <c r="A43" s="13" t="inlineStr">
        <is>
          <t>4. Owner-supplied items</t>
        </is>
      </c>
      <c r="B43" s="13" t="n"/>
      <c r="C43" s="13" t="n"/>
      <c r="D43" s="17">
        <f>SUMIFS($D$8:$D$35,$C$8:$C$35,"Owner-supplied")</f>
        <v/>
      </c>
      <c r="E43" s="17">
        <f>SUMIFS(Log!$F$6:$F$305,Log!$D$6:$D$305,"Owner-supplied",Log!$J$6:$J$305,"Committed")</f>
        <v/>
      </c>
      <c r="F43" s="17">
        <f>SUMIFS(Log!$F$6:$F$305,Log!$D$6:$D$305,"Owner-supplied",Log!$J$6:$J$305,"Committed")+SUMIFS(Log!$F$6:$F$305,Log!$D$6:$D$305,"Owner-supplied",Log!$J$6:$J$305,"Pending")+SUMIFS($K$8:$K$35,$C$8:$C$35,"Owner-supplied")</f>
        <v/>
      </c>
    </row>
    <row r="44">
      <c r="A44" s="13" t="inlineStr">
        <is>
          <t>5. Extras outside the contract</t>
        </is>
      </c>
      <c r="B44" s="13" t="n"/>
      <c r="C44" s="13" t="n"/>
      <c r="D44" s="17">
        <f>SUMIFS($D$8:$D$35,$C$8:$C$35,"Outside contract")</f>
        <v/>
      </c>
      <c r="E44" s="17">
        <f>SUMIFS(Log!$F$6:$F$305,Log!$D$6:$D$305,"Extra outside contract",Log!$J$6:$J$305,"Committed")</f>
        <v/>
      </c>
      <c r="F44" s="17">
        <f>SUMIFS(Log!$F$6:$F$305,Log!$D$6:$D$305,"Extra outside contract",Log!$J$6:$J$305,"Committed")+SUMIFS(Log!$F$6:$F$305,Log!$D$6:$D$305,"Extra outside contract",Log!$J$6:$J$305,"Pending")+SUMIFS($K$8:$K$35,$C$8:$C$35,"Outside contract")</f>
        <v/>
      </c>
    </row>
    <row r="45">
      <c r="A45" s="8" t="inlineStr">
        <is>
          <t>Forecast cost (lines 1–5)</t>
        </is>
      </c>
      <c r="D45" s="33">
        <f>SUM(D40:D44)</f>
        <v/>
      </c>
      <c r="E45" s="33">
        <f>SUM(E40:E44)</f>
        <v/>
      </c>
      <c r="F45" s="33">
        <f>SUM(F40:F44)</f>
        <v/>
      </c>
    </row>
    <row r="46">
      <c r="A46" s="13" t="inlineStr">
        <is>
          <t>6. Contingency</t>
        </is>
      </c>
      <c r="D46" s="17">
        <f>'Cost plan'!L41</f>
        <v/>
      </c>
      <c r="E46" s="13" t="n"/>
      <c r="F46" s="36">
        <f>F47-F45</f>
        <v/>
      </c>
    </row>
    <row r="47">
      <c r="A47" s="8" t="inlineStr">
        <is>
          <t>Total budget</t>
        </is>
      </c>
      <c r="D47" s="33">
        <f>D45+D46</f>
        <v/>
      </c>
      <c r="E47" s="34" t="n"/>
      <c r="F47" s="33">
        <f>'Cost plan'!L42</f>
        <v/>
      </c>
    </row>
    <row r="48">
      <c r="A48" s="37">
        <f>IF(ABS(F45-L36)&lt;0.5,"Check: summary agrees with the line-by-line total.","Check: summary differs from the line-by-line total by "&amp;TEXT(F45-L36,"$#,##0")&amp;". Give every Log row a register line.")</f>
        <v/>
      </c>
      <c r="B48" s="35" t="n"/>
      <c r="C48" s="35" t="n"/>
      <c r="D48" s="35" t="n"/>
      <c r="E48" s="35" t="n"/>
      <c r="F48" s="35" t="n"/>
      <c r="G48" s="35" t="n"/>
      <c r="H48" s="35" t="n"/>
      <c r="I48" s="35" t="n"/>
      <c r="J48" s="35" t="n"/>
      <c r="K48" s="35" t="n"/>
      <c r="L48" s="35" t="n"/>
      <c r="M48" s="35" t="n"/>
      <c r="N48" s="23" t="n"/>
    </row>
  </sheetData>
  <mergeCells count="25">
    <mergeCell ref="A41:C41"/>
    <mergeCell ref="A46:C46"/>
    <mergeCell ref="A48:N48"/>
    <mergeCell ref="C4:D4"/>
    <mergeCell ref="A42:C42"/>
    <mergeCell ref="E4:F4"/>
    <mergeCell ref="A47:C47"/>
    <mergeCell ref="A3:B3"/>
    <mergeCell ref="G3:H3"/>
    <mergeCell ref="A43:C43"/>
    <mergeCell ref="I3:J3"/>
    <mergeCell ref="A44:C44"/>
    <mergeCell ref="A40:C40"/>
    <mergeCell ref="A39:C39"/>
    <mergeCell ref="A5:N5"/>
    <mergeCell ref="A4:B4"/>
    <mergeCell ref="G4:H4"/>
    <mergeCell ref="I4:J4"/>
    <mergeCell ref="A36:C36"/>
    <mergeCell ref="A45:C45"/>
    <mergeCell ref="A38:N38"/>
    <mergeCell ref="K4:L4"/>
    <mergeCell ref="C3:D3"/>
    <mergeCell ref="E3:F3"/>
    <mergeCell ref="K3:L3"/>
  </mergeCells>
  <conditionalFormatting sqref="A5:N5">
    <cfRule type="expression" priority="1" dxfId="0">
      <formula>LEFT($A$5,4)="STOP"</formula>
    </cfRule>
    <cfRule type="expression" priority="2" dxfId="1">
      <formula>LEFT($A$5,6)="Within"</formula>
    </cfRule>
  </conditionalFormatting>
  <conditionalFormatting sqref="N4">
    <cfRule type="expression" priority="3" dxfId="0">
      <formula>$N$4&gt;0</formula>
    </cfRule>
  </conditionalFormatting>
  <conditionalFormatting sqref="M8:M36">
    <cfRule type="expression" priority="4" dxfId="0">
      <formula>M8&gt;0.5</formula>
    </cfRule>
  </conditionalFormatting>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5"/>
  <sheetViews>
    <sheetView showGridLines="0" workbookViewId="0">
      <pane ySplit="5" topLeftCell="A6" activePane="bottomLeft" state="frozen"/>
      <selection pane="bottomLeft" activeCell="A1" sqref="A1"/>
    </sheetView>
  </sheetViews>
  <sheetFormatPr baseColWidth="8" defaultRowHeight="15"/>
  <cols>
    <col width="9" customWidth="1" min="1" max="1"/>
    <col width="12" customWidth="1" min="2" max="2"/>
    <col width="28" customWidth="1" min="3" max="3"/>
    <col width="20" customWidth="1" min="4" max="4"/>
    <col width="46" customWidth="1" min="5" max="5"/>
    <col width="13" customWidth="1" min="6" max="6"/>
    <col width="11" customWidth="1" min="7" max="7"/>
    <col width="28" customWidth="1" min="8" max="8"/>
    <col width="28" customWidth="1" min="9" max="9"/>
    <col width="12" customWidth="1" min="10" max="10"/>
  </cols>
  <sheetData>
    <row r="1" ht="24" customHeight="1">
      <c r="A1" s="1" t="inlineStr">
        <is>
          <t>Log: every priced change, one row each</t>
        </is>
      </c>
    </row>
    <row r="2">
      <c r="A2" s="2" t="inlineStr">
        <is>
          <t>Chapters 3.6–3.7. Reference (V01, PS-01, PC-01…), date, register line, type, description, amount, status and evidence. GST-inclusive.</t>
        </is>
      </c>
    </row>
    <row r="3">
      <c r="A3" s="38" t="inlineStr">
        <is>
          <t>Status: Quoted = pending (in the forecast only). Agreed, Signed, Invoiced, Paid = committed. Rejected = ignored. Credits are negative amounts.</t>
        </is>
      </c>
    </row>
    <row r="5" ht="30" customHeight="1">
      <c r="A5" s="10" t="inlineStr">
        <is>
          <t>Reference</t>
        </is>
      </c>
      <c r="B5" s="10" t="inlineStr">
        <is>
          <t>Date</t>
        </is>
      </c>
      <c r="C5" s="10" t="inlineStr">
        <is>
          <t>Register line</t>
        </is>
      </c>
      <c r="D5" s="10" t="inlineStr">
        <is>
          <t>Type</t>
        </is>
      </c>
      <c r="E5" s="10" t="inlineStr">
        <is>
          <t>Description</t>
        </is>
      </c>
      <c r="F5" s="10" t="inlineStr">
        <is>
          <t>Amount (+/−)</t>
        </is>
      </c>
      <c r="G5" s="10" t="inlineStr">
        <is>
          <t>Status</t>
        </is>
      </c>
      <c r="H5" s="10" t="inlineStr">
        <is>
          <t>Evidence</t>
        </is>
      </c>
      <c r="I5" s="10" t="inlineStr">
        <is>
          <t>Notes</t>
        </is>
      </c>
      <c r="J5" s="10" t="inlineStr">
        <is>
          <t>Counts as</t>
        </is>
      </c>
    </row>
    <row r="6">
      <c r="A6" s="14" t="inlineStr">
        <is>
          <t>V01</t>
        </is>
      </c>
      <c r="B6" s="39" t="n">
        <v>46083</v>
      </c>
      <c r="C6" s="14" t="inlineStr">
        <is>
          <t>Services</t>
        </is>
      </c>
      <c r="D6" s="14" t="inlineStr">
        <is>
          <t>Variation</t>
        </is>
      </c>
      <c r="E6" s="14" t="inlineStr">
        <is>
          <t>Extra power and data points</t>
        </is>
      </c>
      <c r="F6" s="16" t="n">
        <v>1200</v>
      </c>
      <c r="G6" s="14" t="inlineStr">
        <is>
          <t>Signed</t>
        </is>
      </c>
      <c r="H6" s="14" t="inlineStr">
        <is>
          <t>Signed variation V01</t>
        </is>
      </c>
      <c r="I6" s="14" t="n"/>
      <c r="J6" s="11">
        <f>IF(AND(F6="",G6=""),"",IF(OR(G6="Agreed",G6="Signed",G6="Invoiced",G6="Paid"),"Committed",IF(G6="Quoted","Pending",IF(G6="Rejected","Excluded","Check status"))))</f>
        <v/>
      </c>
    </row>
    <row r="7">
      <c r="A7" s="14" t="inlineStr">
        <is>
          <t>V02</t>
        </is>
      </c>
      <c r="B7" s="39" t="n">
        <v>46090</v>
      </c>
      <c r="C7" s="14" t="inlineStr">
        <is>
          <t>External envelope</t>
        </is>
      </c>
      <c r="D7" s="14" t="inlineStr">
        <is>
          <t>Variation</t>
        </is>
      </c>
      <c r="E7" s="14" t="inlineStr">
        <is>
          <t>Wider garage door</t>
        </is>
      </c>
      <c r="F7" s="16" t="n">
        <v>2450</v>
      </c>
      <c r="G7" s="14" t="inlineStr">
        <is>
          <t>Signed</t>
        </is>
      </c>
      <c r="H7" s="14" t="inlineStr">
        <is>
          <t>Signed variation V02</t>
        </is>
      </c>
      <c r="I7" s="14" t="n"/>
      <c r="J7" s="11">
        <f>IF(AND(F7="",G7=""),"",IF(OR(G7="Agreed",G7="Signed",G7="Invoiced",G7="Paid"),"Committed",IF(G7="Quoted","Pending",IF(G7="Rejected","Excluded","Check status"))))</f>
        <v/>
      </c>
    </row>
    <row r="8">
      <c r="A8" s="14" t="inlineStr">
        <is>
          <t>V03</t>
        </is>
      </c>
      <c r="B8" s="39" t="n">
        <v>46104</v>
      </c>
      <c r="C8" s="14" t="inlineStr">
        <is>
          <t>Services</t>
        </is>
      </c>
      <c r="D8" s="14" t="inlineStr">
        <is>
          <t>Variation</t>
        </is>
      </c>
      <c r="E8" s="14" t="inlineStr">
        <is>
          <t>Ceiling fan points to bedrooms</t>
        </is>
      </c>
      <c r="F8" s="16" t="n">
        <v>800</v>
      </c>
      <c r="G8" s="14" t="inlineStr">
        <is>
          <t>Agreed</t>
        </is>
      </c>
      <c r="H8" s="14" t="inlineStr">
        <is>
          <t>Builder quote, email agreement</t>
        </is>
      </c>
      <c r="I8" s="14" t="inlineStr">
        <is>
          <t>Get it signed</t>
        </is>
      </c>
      <c r="J8" s="11">
        <f>IF(AND(F8="",G8=""),"",IF(OR(G8="Agreed",G8="Signed",G8="Invoiced",G8="Paid"),"Committed",IF(G8="Quoted","Pending",IF(G8="Rejected","Excluded","Check status"))))</f>
        <v/>
      </c>
    </row>
    <row r="9">
      <c r="A9" s="14" t="inlineStr">
        <is>
          <t>V04</t>
        </is>
      </c>
      <c r="B9" s="39" t="n">
        <v>46132</v>
      </c>
      <c r="C9" s="14" t="inlineStr">
        <is>
          <t>Kitchen, bathrooms and laundry</t>
        </is>
      </c>
      <c r="D9" s="14" t="inlineStr">
        <is>
          <t>Variation</t>
        </is>
      </c>
      <c r="E9" s="14" t="inlineStr">
        <is>
          <t>Pantry shelving upgrade</t>
        </is>
      </c>
      <c r="F9" s="16" t="n">
        <v>1550</v>
      </c>
      <c r="G9" s="14" t="inlineStr">
        <is>
          <t>Quoted</t>
        </is>
      </c>
      <c r="H9" s="14" t="inlineStr">
        <is>
          <t>Builder quote</t>
        </is>
      </c>
      <c r="I9" s="14" t="inlineStr">
        <is>
          <t>Pending: not agreed yet</t>
        </is>
      </c>
      <c r="J9" s="11">
        <f>IF(AND(F9="",G9=""),"",IF(OR(G9="Agreed",G9="Signed",G9="Invoiced",G9="Paid"),"Committed",IF(G9="Quoted","Pending",IF(G9="Rejected","Excluded","Check status"))))</f>
        <v/>
      </c>
    </row>
    <row r="10">
      <c r="A10" s="14" t="inlineStr">
        <is>
          <t>V05</t>
        </is>
      </c>
      <c r="B10" s="39" t="n">
        <v>46132</v>
      </c>
      <c r="C10" s="14" t="inlineStr">
        <is>
          <t>Kitchen, bathrooms and laundry</t>
        </is>
      </c>
      <c r="D10" s="14" t="inlineStr">
        <is>
          <t>Variation</t>
        </is>
      </c>
      <c r="E10" s="14" t="inlineStr">
        <is>
          <t>Stone benchtop upgrade</t>
        </is>
      </c>
      <c r="F10" s="16" t="n">
        <v>3200</v>
      </c>
      <c r="G10" s="14" t="inlineStr">
        <is>
          <t>Rejected</t>
        </is>
      </c>
      <c r="H10" s="14" t="inlineStr">
        <is>
          <t>Builder quote</t>
        </is>
      </c>
      <c r="I10" s="14" t="inlineStr">
        <is>
          <t>Upgrade, not unforeseen: declined</t>
        </is>
      </c>
      <c r="J10" s="11">
        <f>IF(AND(F10="",G10=""),"",IF(OR(G10="Agreed",G10="Signed",G10="Invoiced",G10="Paid"),"Committed",IF(G10="Quoted","Pending",IF(G10="Rejected","Excluded","Check status"))))</f>
        <v/>
      </c>
    </row>
    <row r="11">
      <c r="A11" s="14" t="inlineStr">
        <is>
          <t>PC-01</t>
        </is>
      </c>
      <c r="B11" s="39" t="n">
        <v>46097</v>
      </c>
      <c r="C11" s="14" t="inlineStr">
        <is>
          <t>Kitchen appliances</t>
        </is>
      </c>
      <c r="D11" s="14" t="inlineStr">
        <is>
          <t>PC adjustment</t>
        </is>
      </c>
      <c r="E11" s="14" t="inlineStr">
        <is>
          <t>Appliances $5,200 v $4,000 allowance, +10% margin on overrun</t>
        </is>
      </c>
      <c r="F11" s="16" t="n">
        <v>1320</v>
      </c>
      <c r="G11" s="14" t="inlineStr">
        <is>
          <t>Agreed</t>
        </is>
      </c>
      <c r="H11" s="14" t="inlineStr">
        <is>
          <t>Selection sheet, supplier quote</t>
        </is>
      </c>
      <c r="I11" s="14" t="inlineStr">
        <is>
          <t>Closed at selection</t>
        </is>
      </c>
      <c r="J11" s="11">
        <f>IF(AND(F11="",G11=""),"",IF(OR(G11="Agreed",G11="Signed",G11="Invoiced",G11="Paid"),"Committed",IF(G11="Quoted","Pending",IF(G11="Rejected","Excluded","Check status"))))</f>
        <v/>
      </c>
    </row>
    <row r="12">
      <c r="A12" s="14" t="inlineStr">
        <is>
          <t>PC-02</t>
        </is>
      </c>
      <c r="B12" s="39" t="n">
        <v>46097</v>
      </c>
      <c r="C12" s="14" t="inlineStr">
        <is>
          <t>Floor tiles</t>
        </is>
      </c>
      <c r="D12" s="14" t="inlineStr">
        <is>
          <t>PC adjustment</t>
        </is>
      </c>
      <c r="E12" s="14" t="inlineStr">
        <is>
          <t>Tiles $48/m² v $35/m² allowance × 90 m², +10% margin</t>
        </is>
      </c>
      <c r="F12" s="16" t="n">
        <v>1287</v>
      </c>
      <c r="G12" s="14" t="inlineStr">
        <is>
          <t>Agreed</t>
        </is>
      </c>
      <c r="H12" s="14" t="inlineStr">
        <is>
          <t>Selection sheet, area check</t>
        </is>
      </c>
      <c r="I12" s="14" t="inlineStr">
        <is>
          <t>Area includes waste allowance</t>
        </is>
      </c>
      <c r="J12" s="11">
        <f>IF(AND(F12="",G12=""),"",IF(OR(G12="Agreed",G12="Signed",G12="Invoiced",G12="Paid"),"Committed",IF(G12="Quoted","Pending",IF(G12="Rejected","Excluded","Check status"))))</f>
        <v/>
      </c>
    </row>
    <row r="13">
      <c r="A13" s="14" t="inlineStr">
        <is>
          <t>PS-01</t>
        </is>
      </c>
      <c r="B13" s="39" t="n">
        <v>46080</v>
      </c>
      <c r="C13" s="14" t="inlineStr">
        <is>
          <t>Rock excavation</t>
        </is>
      </c>
      <c r="D13" s="14" t="inlineStr">
        <is>
          <t>PS adjustment</t>
        </is>
      </c>
      <c r="E13" s="14" t="inlineStr">
        <is>
          <t>Rock $6,800 v $3,000 allowance, +10% margin on overrun</t>
        </is>
      </c>
      <c r="F13" s="16" t="n">
        <v>4180</v>
      </c>
      <c r="G13" s="14" t="inlineStr">
        <is>
          <t>Invoiced</t>
        </is>
      </c>
      <c r="H13" s="14" t="inlineStr">
        <is>
          <t>Excavator invoice, dockets, photos</t>
        </is>
      </c>
      <c r="I13" s="14" t="inlineStr">
        <is>
          <t>Claimed with base stage</t>
        </is>
      </c>
      <c r="J13" s="11">
        <f>IF(AND(F13="",G13=""),"",IF(OR(G13="Agreed",G13="Signed",G13="Invoiced",G13="Paid"),"Committed",IF(G13="Quoted","Pending",IF(G13="Rejected","Excluded","Check status"))))</f>
        <v/>
      </c>
    </row>
    <row r="14">
      <c r="A14" s="14" t="inlineStr">
        <is>
          <t>OS-01</t>
        </is>
      </c>
      <c r="B14" s="39" t="n">
        <v>46118</v>
      </c>
      <c r="C14" s="14" t="inlineStr">
        <is>
          <t>Owner-supplied items</t>
        </is>
      </c>
      <c r="D14" s="14" t="inlineStr">
        <is>
          <t>Owner-supplied</t>
        </is>
      </c>
      <c r="E14" s="14" t="inlineStr">
        <is>
          <t>Mirrors, towel rails and accessories for the builder to install</t>
        </is>
      </c>
      <c r="F14" s="16" t="n">
        <v>2800</v>
      </c>
      <c r="G14" s="14" t="inlineStr">
        <is>
          <t>Paid</t>
        </is>
      </c>
      <c r="H14" s="14" t="inlineStr">
        <is>
          <t>Supplier invoice</t>
        </is>
      </c>
      <c r="I14" s="14" t="inlineStr">
        <is>
          <t>Closed</t>
        </is>
      </c>
      <c r="J14" s="11">
        <f>IF(AND(F14="",G14=""),"",IF(OR(G14="Agreed",G14="Signed",G14="Invoiced",G14="Paid"),"Committed",IF(G14="Quoted","Pending",IF(G14="Rejected","Excluded","Check status"))))</f>
        <v/>
      </c>
    </row>
    <row r="15">
      <c r="A15" s="14" t="inlineStr">
        <is>
          <t>EX-01</t>
        </is>
      </c>
      <c r="B15" s="39" t="n">
        <v>46125</v>
      </c>
      <c r="C15" s="14" t="inlineStr">
        <is>
          <t>External works</t>
        </is>
      </c>
      <c r="D15" s="14" t="inlineStr">
        <is>
          <t>Extra outside contract</t>
        </is>
      </c>
      <c r="E15" s="14" t="inlineStr">
        <is>
          <t>Boundary fencing</t>
        </is>
      </c>
      <c r="F15" s="16" t="n">
        <v>9000</v>
      </c>
      <c r="G15" s="14" t="inlineStr">
        <is>
          <t>Signed</t>
        </is>
      </c>
      <c r="H15" s="14" t="inlineStr">
        <is>
          <t>Signed fencing quote</t>
        </is>
      </c>
      <c r="I15" s="14" t="inlineStr">
        <is>
          <t>Due after handover</t>
        </is>
      </c>
      <c r="J15" s="11">
        <f>IF(AND(F15="",G15=""),"",IF(OR(G15="Agreed",G15="Signed",G15="Invoiced",G15="Paid"),"Committed",IF(G15="Quoted","Pending",IF(G15="Rejected","Excluded","Check status"))))</f>
        <v/>
      </c>
    </row>
    <row r="16">
      <c r="A16" s="14" t="inlineStr">
        <is>
          <t>EX-02</t>
        </is>
      </c>
      <c r="B16" s="39" t="n">
        <v>46139</v>
      </c>
      <c r="C16" s="14" t="inlineStr">
        <is>
          <t>External works</t>
        </is>
      </c>
      <c r="D16" s="14" t="inlineStr">
        <is>
          <t>Extra outside contract</t>
        </is>
      </c>
      <c r="E16" s="14" t="inlineStr">
        <is>
          <t>Driveway and paths</t>
        </is>
      </c>
      <c r="F16" s="16" t="n">
        <v>9500</v>
      </c>
      <c r="G16" s="14" t="inlineStr">
        <is>
          <t>Quoted</t>
        </is>
      </c>
      <c r="H16" s="14" t="inlineStr">
        <is>
          <t>Concreter quote</t>
        </is>
      </c>
      <c r="I16" s="14" t="n"/>
      <c r="J16" s="11">
        <f>IF(AND(F16="",G16=""),"",IF(OR(G16="Agreed",G16="Signed",G16="Invoiced",G16="Paid"),"Committed",IF(G16="Quoted","Pending",IF(G16="Rejected","Excluded","Check status"))))</f>
        <v/>
      </c>
    </row>
    <row r="17">
      <c r="A17" s="14" t="inlineStr">
        <is>
          <t>EX-03</t>
        </is>
      </c>
      <c r="B17" s="39" t="n">
        <v>46139</v>
      </c>
      <c r="C17" s="14" t="inlineStr">
        <is>
          <t>Fit-out after handover</t>
        </is>
      </c>
      <c r="D17" s="14" t="inlineStr">
        <is>
          <t>Extra outside contract</t>
        </is>
      </c>
      <c r="E17" s="14" t="inlineStr">
        <is>
          <t>Window coverings and flyscreens</t>
        </is>
      </c>
      <c r="F17" s="16" t="n">
        <v>7000</v>
      </c>
      <c r="G17" s="14" t="inlineStr">
        <is>
          <t>Quoted</t>
        </is>
      </c>
      <c r="H17" s="14" t="inlineStr">
        <is>
          <t>Supplier quote</t>
        </is>
      </c>
      <c r="I17" s="14" t="n"/>
      <c r="J17" s="11">
        <f>IF(AND(F17="",G17=""),"",IF(OR(G17="Agreed",G17="Signed",G17="Invoiced",G17="Paid"),"Committed",IF(G17="Quoted","Pending",IF(G17="Rejected","Excluded","Check status"))))</f>
        <v/>
      </c>
    </row>
    <row r="18">
      <c r="A18" s="14" t="n"/>
      <c r="B18" s="39" t="n"/>
      <c r="C18" s="14" t="n"/>
      <c r="D18" s="14" t="n"/>
      <c r="E18" s="14" t="n"/>
      <c r="F18" s="16" t="n"/>
      <c r="G18" s="14" t="n"/>
      <c r="H18" s="14" t="n"/>
      <c r="I18" s="14" t="n"/>
      <c r="J18" s="11">
        <f>IF(AND(F18="",G18=""),"",IF(OR(G18="Agreed",G18="Signed",G18="Invoiced",G18="Paid"),"Committed",IF(G18="Quoted","Pending",IF(G18="Rejected","Excluded","Check status"))))</f>
        <v/>
      </c>
    </row>
    <row r="19">
      <c r="A19" s="14" t="n"/>
      <c r="B19" s="39" t="n"/>
      <c r="C19" s="14" t="n"/>
      <c r="D19" s="14" t="n"/>
      <c r="E19" s="14" t="n"/>
      <c r="F19" s="16" t="n"/>
      <c r="G19" s="14" t="n"/>
      <c r="H19" s="14" t="n"/>
      <c r="I19" s="14" t="n"/>
      <c r="J19" s="11">
        <f>IF(AND(F19="",G19=""),"",IF(OR(G19="Agreed",G19="Signed",G19="Invoiced",G19="Paid"),"Committed",IF(G19="Quoted","Pending",IF(G19="Rejected","Excluded","Check status"))))</f>
        <v/>
      </c>
    </row>
    <row r="20">
      <c r="A20" s="14" t="n"/>
      <c r="B20" s="39" t="n"/>
      <c r="C20" s="14" t="n"/>
      <c r="D20" s="14" t="n"/>
      <c r="E20" s="14" t="n"/>
      <c r="F20" s="16" t="n"/>
      <c r="G20" s="14" t="n"/>
      <c r="H20" s="14" t="n"/>
      <c r="I20" s="14" t="n"/>
      <c r="J20" s="11">
        <f>IF(AND(F20="",G20=""),"",IF(OR(G20="Agreed",G20="Signed",G20="Invoiced",G20="Paid"),"Committed",IF(G20="Quoted","Pending",IF(G20="Rejected","Excluded","Check status"))))</f>
        <v/>
      </c>
    </row>
    <row r="21">
      <c r="A21" s="14" t="n"/>
      <c r="B21" s="39" t="n"/>
      <c r="C21" s="14" t="n"/>
      <c r="D21" s="14" t="n"/>
      <c r="E21" s="14" t="n"/>
      <c r="F21" s="16" t="n"/>
      <c r="G21" s="14" t="n"/>
      <c r="H21" s="14" t="n"/>
      <c r="I21" s="14" t="n"/>
      <c r="J21" s="11">
        <f>IF(AND(F21="",G21=""),"",IF(OR(G21="Agreed",G21="Signed",G21="Invoiced",G21="Paid"),"Committed",IF(G21="Quoted","Pending",IF(G21="Rejected","Excluded","Check status"))))</f>
        <v/>
      </c>
    </row>
    <row r="22">
      <c r="A22" s="14" t="n"/>
      <c r="B22" s="39" t="n"/>
      <c r="C22" s="14" t="n"/>
      <c r="D22" s="14" t="n"/>
      <c r="E22" s="14" t="n"/>
      <c r="F22" s="16" t="n"/>
      <c r="G22" s="14" t="n"/>
      <c r="H22" s="14" t="n"/>
      <c r="I22" s="14" t="n"/>
      <c r="J22" s="11">
        <f>IF(AND(F22="",G22=""),"",IF(OR(G22="Agreed",G22="Signed",G22="Invoiced",G22="Paid"),"Committed",IF(G22="Quoted","Pending",IF(G22="Rejected","Excluded","Check status"))))</f>
        <v/>
      </c>
    </row>
    <row r="23">
      <c r="A23" s="14" t="n"/>
      <c r="B23" s="39" t="n"/>
      <c r="C23" s="14" t="n"/>
      <c r="D23" s="14" t="n"/>
      <c r="E23" s="14" t="n"/>
      <c r="F23" s="16" t="n"/>
      <c r="G23" s="14" t="n"/>
      <c r="H23" s="14" t="n"/>
      <c r="I23" s="14" t="n"/>
      <c r="J23" s="11">
        <f>IF(AND(F23="",G23=""),"",IF(OR(G23="Agreed",G23="Signed",G23="Invoiced",G23="Paid"),"Committed",IF(G23="Quoted","Pending",IF(G23="Rejected","Excluded","Check status"))))</f>
        <v/>
      </c>
    </row>
    <row r="24">
      <c r="A24" s="14" t="n"/>
      <c r="B24" s="39" t="n"/>
      <c r="C24" s="14" t="n"/>
      <c r="D24" s="14" t="n"/>
      <c r="E24" s="14" t="n"/>
      <c r="F24" s="16" t="n"/>
      <c r="G24" s="14" t="n"/>
      <c r="H24" s="14" t="n"/>
      <c r="I24" s="14" t="n"/>
      <c r="J24" s="11">
        <f>IF(AND(F24="",G24=""),"",IF(OR(G24="Agreed",G24="Signed",G24="Invoiced",G24="Paid"),"Committed",IF(G24="Quoted","Pending",IF(G24="Rejected","Excluded","Check status"))))</f>
        <v/>
      </c>
    </row>
    <row r="25">
      <c r="A25" s="14" t="n"/>
      <c r="B25" s="39" t="n"/>
      <c r="C25" s="14" t="n"/>
      <c r="D25" s="14" t="n"/>
      <c r="E25" s="14" t="n"/>
      <c r="F25" s="16" t="n"/>
      <c r="G25" s="14" t="n"/>
      <c r="H25" s="14" t="n"/>
      <c r="I25" s="14" t="n"/>
      <c r="J25" s="11">
        <f>IF(AND(F25="",G25=""),"",IF(OR(G25="Agreed",G25="Signed",G25="Invoiced",G25="Paid"),"Committed",IF(G25="Quoted","Pending",IF(G25="Rejected","Excluded","Check status"))))</f>
        <v/>
      </c>
    </row>
    <row r="26">
      <c r="A26" s="14" t="n"/>
      <c r="B26" s="39" t="n"/>
      <c r="C26" s="14" t="n"/>
      <c r="D26" s="14" t="n"/>
      <c r="E26" s="14" t="n"/>
      <c r="F26" s="16" t="n"/>
      <c r="G26" s="14" t="n"/>
      <c r="H26" s="14" t="n"/>
      <c r="I26" s="14" t="n"/>
      <c r="J26" s="11">
        <f>IF(AND(F26="",G26=""),"",IF(OR(G26="Agreed",G26="Signed",G26="Invoiced",G26="Paid"),"Committed",IF(G26="Quoted","Pending",IF(G26="Rejected","Excluded","Check status"))))</f>
        <v/>
      </c>
    </row>
    <row r="27">
      <c r="A27" s="14" t="n"/>
      <c r="B27" s="39" t="n"/>
      <c r="C27" s="14" t="n"/>
      <c r="D27" s="14" t="n"/>
      <c r="E27" s="14" t="n"/>
      <c r="F27" s="16" t="n"/>
      <c r="G27" s="14" t="n"/>
      <c r="H27" s="14" t="n"/>
      <c r="I27" s="14" t="n"/>
      <c r="J27" s="11">
        <f>IF(AND(F27="",G27=""),"",IF(OR(G27="Agreed",G27="Signed",G27="Invoiced",G27="Paid"),"Committed",IF(G27="Quoted","Pending",IF(G27="Rejected","Excluded","Check status"))))</f>
        <v/>
      </c>
    </row>
    <row r="28">
      <c r="A28" s="14" t="n"/>
      <c r="B28" s="39" t="n"/>
      <c r="C28" s="14" t="n"/>
      <c r="D28" s="14" t="n"/>
      <c r="E28" s="14" t="n"/>
      <c r="F28" s="16" t="n"/>
      <c r="G28" s="14" t="n"/>
      <c r="H28" s="14" t="n"/>
      <c r="I28" s="14" t="n"/>
      <c r="J28" s="11">
        <f>IF(AND(F28="",G28=""),"",IF(OR(G28="Agreed",G28="Signed",G28="Invoiced",G28="Paid"),"Committed",IF(G28="Quoted","Pending",IF(G28="Rejected","Excluded","Check status"))))</f>
        <v/>
      </c>
    </row>
    <row r="29">
      <c r="A29" s="14" t="n"/>
      <c r="B29" s="39" t="n"/>
      <c r="C29" s="14" t="n"/>
      <c r="D29" s="14" t="n"/>
      <c r="E29" s="14" t="n"/>
      <c r="F29" s="16" t="n"/>
      <c r="G29" s="14" t="n"/>
      <c r="H29" s="14" t="n"/>
      <c r="I29" s="14" t="n"/>
      <c r="J29" s="11">
        <f>IF(AND(F29="",G29=""),"",IF(OR(G29="Agreed",G29="Signed",G29="Invoiced",G29="Paid"),"Committed",IF(G29="Quoted","Pending",IF(G29="Rejected","Excluded","Check status"))))</f>
        <v/>
      </c>
    </row>
    <row r="30">
      <c r="A30" s="14" t="n"/>
      <c r="B30" s="39" t="n"/>
      <c r="C30" s="14" t="n"/>
      <c r="D30" s="14" t="n"/>
      <c r="E30" s="14" t="n"/>
      <c r="F30" s="16" t="n"/>
      <c r="G30" s="14" t="n"/>
      <c r="H30" s="14" t="n"/>
      <c r="I30" s="14" t="n"/>
      <c r="J30" s="11">
        <f>IF(AND(F30="",G30=""),"",IF(OR(G30="Agreed",G30="Signed",G30="Invoiced",G30="Paid"),"Committed",IF(G30="Quoted","Pending",IF(G30="Rejected","Excluded","Check status"))))</f>
        <v/>
      </c>
    </row>
    <row r="31">
      <c r="A31" s="14" t="n"/>
      <c r="B31" s="39" t="n"/>
      <c r="C31" s="14" t="n"/>
      <c r="D31" s="14" t="n"/>
      <c r="E31" s="14" t="n"/>
      <c r="F31" s="16" t="n"/>
      <c r="G31" s="14" t="n"/>
      <c r="H31" s="14" t="n"/>
      <c r="I31" s="14" t="n"/>
      <c r="J31" s="11">
        <f>IF(AND(F31="",G31=""),"",IF(OR(G31="Agreed",G31="Signed",G31="Invoiced",G31="Paid"),"Committed",IF(G31="Quoted","Pending",IF(G31="Rejected","Excluded","Check status"))))</f>
        <v/>
      </c>
    </row>
    <row r="32">
      <c r="A32" s="14" t="n"/>
      <c r="B32" s="39" t="n"/>
      <c r="C32" s="14" t="n"/>
      <c r="D32" s="14" t="n"/>
      <c r="E32" s="14" t="n"/>
      <c r="F32" s="16" t="n"/>
      <c r="G32" s="14" t="n"/>
      <c r="H32" s="14" t="n"/>
      <c r="I32" s="14" t="n"/>
      <c r="J32" s="11">
        <f>IF(AND(F32="",G32=""),"",IF(OR(G32="Agreed",G32="Signed",G32="Invoiced",G32="Paid"),"Committed",IF(G32="Quoted","Pending",IF(G32="Rejected","Excluded","Check status"))))</f>
        <v/>
      </c>
    </row>
    <row r="33">
      <c r="A33" s="14" t="n"/>
      <c r="B33" s="39" t="n"/>
      <c r="C33" s="14" t="n"/>
      <c r="D33" s="14" t="n"/>
      <c r="E33" s="14" t="n"/>
      <c r="F33" s="16" t="n"/>
      <c r="G33" s="14" t="n"/>
      <c r="H33" s="14" t="n"/>
      <c r="I33" s="14" t="n"/>
      <c r="J33" s="11">
        <f>IF(AND(F33="",G33=""),"",IF(OR(G33="Agreed",G33="Signed",G33="Invoiced",G33="Paid"),"Committed",IF(G33="Quoted","Pending",IF(G33="Rejected","Excluded","Check status"))))</f>
        <v/>
      </c>
    </row>
    <row r="34">
      <c r="A34" s="14" t="n"/>
      <c r="B34" s="39" t="n"/>
      <c r="C34" s="14" t="n"/>
      <c r="D34" s="14" t="n"/>
      <c r="E34" s="14" t="n"/>
      <c r="F34" s="16" t="n"/>
      <c r="G34" s="14" t="n"/>
      <c r="H34" s="14" t="n"/>
      <c r="I34" s="14" t="n"/>
      <c r="J34" s="11">
        <f>IF(AND(F34="",G34=""),"",IF(OR(G34="Agreed",G34="Signed",G34="Invoiced",G34="Paid"),"Committed",IF(G34="Quoted","Pending",IF(G34="Rejected","Excluded","Check status"))))</f>
        <v/>
      </c>
    </row>
    <row r="35">
      <c r="A35" s="14" t="n"/>
      <c r="B35" s="39" t="n"/>
      <c r="C35" s="14" t="n"/>
      <c r="D35" s="14" t="n"/>
      <c r="E35" s="14" t="n"/>
      <c r="F35" s="16" t="n"/>
      <c r="G35" s="14" t="n"/>
      <c r="H35" s="14" t="n"/>
      <c r="I35" s="14" t="n"/>
      <c r="J35" s="11">
        <f>IF(AND(F35="",G35=""),"",IF(OR(G35="Agreed",G35="Signed",G35="Invoiced",G35="Paid"),"Committed",IF(G35="Quoted","Pending",IF(G35="Rejected","Excluded","Check status"))))</f>
        <v/>
      </c>
    </row>
    <row r="36">
      <c r="A36" s="14" t="n"/>
      <c r="B36" s="39" t="n"/>
      <c r="C36" s="14" t="n"/>
      <c r="D36" s="14" t="n"/>
      <c r="E36" s="14" t="n"/>
      <c r="F36" s="16" t="n"/>
      <c r="G36" s="14" t="n"/>
      <c r="H36" s="14" t="n"/>
      <c r="I36" s="14" t="n"/>
      <c r="J36" s="11">
        <f>IF(AND(F36="",G36=""),"",IF(OR(G36="Agreed",G36="Signed",G36="Invoiced",G36="Paid"),"Committed",IF(G36="Quoted","Pending",IF(G36="Rejected","Excluded","Check status"))))</f>
        <v/>
      </c>
    </row>
    <row r="37">
      <c r="A37" s="14" t="n"/>
      <c r="B37" s="39" t="n"/>
      <c r="C37" s="14" t="n"/>
      <c r="D37" s="14" t="n"/>
      <c r="E37" s="14" t="n"/>
      <c r="F37" s="16" t="n"/>
      <c r="G37" s="14" t="n"/>
      <c r="H37" s="14" t="n"/>
      <c r="I37" s="14" t="n"/>
      <c r="J37" s="11">
        <f>IF(AND(F37="",G37=""),"",IF(OR(G37="Agreed",G37="Signed",G37="Invoiced",G37="Paid"),"Committed",IF(G37="Quoted","Pending",IF(G37="Rejected","Excluded","Check status"))))</f>
        <v/>
      </c>
    </row>
    <row r="38">
      <c r="A38" s="14" t="n"/>
      <c r="B38" s="39" t="n"/>
      <c r="C38" s="14" t="n"/>
      <c r="D38" s="14" t="n"/>
      <c r="E38" s="14" t="n"/>
      <c r="F38" s="16" t="n"/>
      <c r="G38" s="14" t="n"/>
      <c r="H38" s="14" t="n"/>
      <c r="I38" s="14" t="n"/>
      <c r="J38" s="11">
        <f>IF(AND(F38="",G38=""),"",IF(OR(G38="Agreed",G38="Signed",G38="Invoiced",G38="Paid"),"Committed",IF(G38="Quoted","Pending",IF(G38="Rejected","Excluded","Check status"))))</f>
        <v/>
      </c>
    </row>
    <row r="39">
      <c r="A39" s="14" t="n"/>
      <c r="B39" s="39" t="n"/>
      <c r="C39" s="14" t="n"/>
      <c r="D39" s="14" t="n"/>
      <c r="E39" s="14" t="n"/>
      <c r="F39" s="16" t="n"/>
      <c r="G39" s="14" t="n"/>
      <c r="H39" s="14" t="n"/>
      <c r="I39" s="14" t="n"/>
      <c r="J39" s="11">
        <f>IF(AND(F39="",G39=""),"",IF(OR(G39="Agreed",G39="Signed",G39="Invoiced",G39="Paid"),"Committed",IF(G39="Quoted","Pending",IF(G39="Rejected","Excluded","Check status"))))</f>
        <v/>
      </c>
    </row>
    <row r="40">
      <c r="A40" s="14" t="n"/>
      <c r="B40" s="39" t="n"/>
      <c r="C40" s="14" t="n"/>
      <c r="D40" s="14" t="n"/>
      <c r="E40" s="14" t="n"/>
      <c r="F40" s="16" t="n"/>
      <c r="G40" s="14" t="n"/>
      <c r="H40" s="14" t="n"/>
      <c r="I40" s="14" t="n"/>
      <c r="J40" s="11">
        <f>IF(AND(F40="",G40=""),"",IF(OR(G40="Agreed",G40="Signed",G40="Invoiced",G40="Paid"),"Committed",IF(G40="Quoted","Pending",IF(G40="Rejected","Excluded","Check status"))))</f>
        <v/>
      </c>
    </row>
    <row r="41">
      <c r="A41" s="14" t="n"/>
      <c r="B41" s="39" t="n"/>
      <c r="C41" s="14" t="n"/>
      <c r="D41" s="14" t="n"/>
      <c r="E41" s="14" t="n"/>
      <c r="F41" s="16" t="n"/>
      <c r="G41" s="14" t="n"/>
      <c r="H41" s="14" t="n"/>
      <c r="I41" s="14" t="n"/>
      <c r="J41" s="11">
        <f>IF(AND(F41="",G41=""),"",IF(OR(G41="Agreed",G41="Signed",G41="Invoiced",G41="Paid"),"Committed",IF(G41="Quoted","Pending",IF(G41="Rejected","Excluded","Check status"))))</f>
        <v/>
      </c>
    </row>
    <row r="42">
      <c r="A42" s="14" t="n"/>
      <c r="B42" s="39" t="n"/>
      <c r="C42" s="14" t="n"/>
      <c r="D42" s="14" t="n"/>
      <c r="E42" s="14" t="n"/>
      <c r="F42" s="16" t="n"/>
      <c r="G42" s="14" t="n"/>
      <c r="H42" s="14" t="n"/>
      <c r="I42" s="14" t="n"/>
      <c r="J42" s="11">
        <f>IF(AND(F42="",G42=""),"",IF(OR(G42="Agreed",G42="Signed",G42="Invoiced",G42="Paid"),"Committed",IF(G42="Quoted","Pending",IF(G42="Rejected","Excluded","Check status"))))</f>
        <v/>
      </c>
    </row>
    <row r="43">
      <c r="A43" s="14" t="n"/>
      <c r="B43" s="39" t="n"/>
      <c r="C43" s="14" t="n"/>
      <c r="D43" s="14" t="n"/>
      <c r="E43" s="14" t="n"/>
      <c r="F43" s="16" t="n"/>
      <c r="G43" s="14" t="n"/>
      <c r="H43" s="14" t="n"/>
      <c r="I43" s="14" t="n"/>
      <c r="J43" s="11">
        <f>IF(AND(F43="",G43=""),"",IF(OR(G43="Agreed",G43="Signed",G43="Invoiced",G43="Paid"),"Committed",IF(G43="Quoted","Pending",IF(G43="Rejected","Excluded","Check status"))))</f>
        <v/>
      </c>
    </row>
    <row r="44">
      <c r="A44" s="14" t="n"/>
      <c r="B44" s="39" t="n"/>
      <c r="C44" s="14" t="n"/>
      <c r="D44" s="14" t="n"/>
      <c r="E44" s="14" t="n"/>
      <c r="F44" s="16" t="n"/>
      <c r="G44" s="14" t="n"/>
      <c r="H44" s="14" t="n"/>
      <c r="I44" s="14" t="n"/>
      <c r="J44" s="11">
        <f>IF(AND(F44="",G44=""),"",IF(OR(G44="Agreed",G44="Signed",G44="Invoiced",G44="Paid"),"Committed",IF(G44="Quoted","Pending",IF(G44="Rejected","Excluded","Check status"))))</f>
        <v/>
      </c>
    </row>
    <row r="45">
      <c r="A45" s="14" t="n"/>
      <c r="B45" s="39" t="n"/>
      <c r="C45" s="14" t="n"/>
      <c r="D45" s="14" t="n"/>
      <c r="E45" s="14" t="n"/>
      <c r="F45" s="16" t="n"/>
      <c r="G45" s="14" t="n"/>
      <c r="H45" s="14" t="n"/>
      <c r="I45" s="14" t="n"/>
      <c r="J45" s="11">
        <f>IF(AND(F45="",G45=""),"",IF(OR(G45="Agreed",G45="Signed",G45="Invoiced",G45="Paid"),"Committed",IF(G45="Quoted","Pending",IF(G45="Rejected","Excluded","Check status"))))</f>
        <v/>
      </c>
    </row>
    <row r="46">
      <c r="A46" s="14" t="n"/>
      <c r="B46" s="39" t="n"/>
      <c r="C46" s="14" t="n"/>
      <c r="D46" s="14" t="n"/>
      <c r="E46" s="14" t="n"/>
      <c r="F46" s="16" t="n"/>
      <c r="G46" s="14" t="n"/>
      <c r="H46" s="14" t="n"/>
      <c r="I46" s="14" t="n"/>
      <c r="J46" s="11">
        <f>IF(AND(F46="",G46=""),"",IF(OR(G46="Agreed",G46="Signed",G46="Invoiced",G46="Paid"),"Committed",IF(G46="Quoted","Pending",IF(G46="Rejected","Excluded","Check status"))))</f>
        <v/>
      </c>
    </row>
    <row r="47">
      <c r="A47" s="14" t="n"/>
      <c r="B47" s="39" t="n"/>
      <c r="C47" s="14" t="n"/>
      <c r="D47" s="14" t="n"/>
      <c r="E47" s="14" t="n"/>
      <c r="F47" s="16" t="n"/>
      <c r="G47" s="14" t="n"/>
      <c r="H47" s="14" t="n"/>
      <c r="I47" s="14" t="n"/>
      <c r="J47" s="11">
        <f>IF(AND(F47="",G47=""),"",IF(OR(G47="Agreed",G47="Signed",G47="Invoiced",G47="Paid"),"Committed",IF(G47="Quoted","Pending",IF(G47="Rejected","Excluded","Check status"))))</f>
        <v/>
      </c>
    </row>
    <row r="48">
      <c r="A48" s="14" t="n"/>
      <c r="B48" s="39" t="n"/>
      <c r="C48" s="14" t="n"/>
      <c r="D48" s="14" t="n"/>
      <c r="E48" s="14" t="n"/>
      <c r="F48" s="16" t="n"/>
      <c r="G48" s="14" t="n"/>
      <c r="H48" s="14" t="n"/>
      <c r="I48" s="14" t="n"/>
      <c r="J48" s="11">
        <f>IF(AND(F48="",G48=""),"",IF(OR(G48="Agreed",G48="Signed",G48="Invoiced",G48="Paid"),"Committed",IF(G48="Quoted","Pending",IF(G48="Rejected","Excluded","Check status"))))</f>
        <v/>
      </c>
    </row>
    <row r="49">
      <c r="A49" s="14" t="n"/>
      <c r="B49" s="39" t="n"/>
      <c r="C49" s="14" t="n"/>
      <c r="D49" s="14" t="n"/>
      <c r="E49" s="14" t="n"/>
      <c r="F49" s="16" t="n"/>
      <c r="G49" s="14" t="n"/>
      <c r="H49" s="14" t="n"/>
      <c r="I49" s="14" t="n"/>
      <c r="J49" s="11">
        <f>IF(AND(F49="",G49=""),"",IF(OR(G49="Agreed",G49="Signed",G49="Invoiced",G49="Paid"),"Committed",IF(G49="Quoted","Pending",IF(G49="Rejected","Excluded","Check status"))))</f>
        <v/>
      </c>
    </row>
    <row r="50">
      <c r="A50" s="14" t="n"/>
      <c r="B50" s="39" t="n"/>
      <c r="C50" s="14" t="n"/>
      <c r="D50" s="14" t="n"/>
      <c r="E50" s="14" t="n"/>
      <c r="F50" s="16" t="n"/>
      <c r="G50" s="14" t="n"/>
      <c r="H50" s="14" t="n"/>
      <c r="I50" s="14" t="n"/>
      <c r="J50" s="11">
        <f>IF(AND(F50="",G50=""),"",IF(OR(G50="Agreed",G50="Signed",G50="Invoiced",G50="Paid"),"Committed",IF(G50="Quoted","Pending",IF(G50="Rejected","Excluded","Check status"))))</f>
        <v/>
      </c>
    </row>
    <row r="51">
      <c r="A51" s="14" t="n"/>
      <c r="B51" s="39" t="n"/>
      <c r="C51" s="14" t="n"/>
      <c r="D51" s="14" t="n"/>
      <c r="E51" s="14" t="n"/>
      <c r="F51" s="16" t="n"/>
      <c r="G51" s="14" t="n"/>
      <c r="H51" s="14" t="n"/>
      <c r="I51" s="14" t="n"/>
      <c r="J51" s="11">
        <f>IF(AND(F51="",G51=""),"",IF(OR(G51="Agreed",G51="Signed",G51="Invoiced",G51="Paid"),"Committed",IF(G51="Quoted","Pending",IF(G51="Rejected","Excluded","Check status"))))</f>
        <v/>
      </c>
    </row>
    <row r="52">
      <c r="A52" s="14" t="n"/>
      <c r="B52" s="39" t="n"/>
      <c r="C52" s="14" t="n"/>
      <c r="D52" s="14" t="n"/>
      <c r="E52" s="14" t="n"/>
      <c r="F52" s="16" t="n"/>
      <c r="G52" s="14" t="n"/>
      <c r="H52" s="14" t="n"/>
      <c r="I52" s="14" t="n"/>
      <c r="J52" s="11">
        <f>IF(AND(F52="",G52=""),"",IF(OR(G52="Agreed",G52="Signed",G52="Invoiced",G52="Paid"),"Committed",IF(G52="Quoted","Pending",IF(G52="Rejected","Excluded","Check status"))))</f>
        <v/>
      </c>
    </row>
    <row r="53">
      <c r="A53" s="14" t="n"/>
      <c r="B53" s="39" t="n"/>
      <c r="C53" s="14" t="n"/>
      <c r="D53" s="14" t="n"/>
      <c r="E53" s="14" t="n"/>
      <c r="F53" s="16" t="n"/>
      <c r="G53" s="14" t="n"/>
      <c r="H53" s="14" t="n"/>
      <c r="I53" s="14" t="n"/>
      <c r="J53" s="11">
        <f>IF(AND(F53="",G53=""),"",IF(OR(G53="Agreed",G53="Signed",G53="Invoiced",G53="Paid"),"Committed",IF(G53="Quoted","Pending",IF(G53="Rejected","Excluded","Check status"))))</f>
        <v/>
      </c>
    </row>
    <row r="54">
      <c r="A54" s="14" t="n"/>
      <c r="B54" s="39" t="n"/>
      <c r="C54" s="14" t="n"/>
      <c r="D54" s="14" t="n"/>
      <c r="E54" s="14" t="n"/>
      <c r="F54" s="16" t="n"/>
      <c r="G54" s="14" t="n"/>
      <c r="H54" s="14" t="n"/>
      <c r="I54" s="14" t="n"/>
      <c r="J54" s="11">
        <f>IF(AND(F54="",G54=""),"",IF(OR(G54="Agreed",G54="Signed",G54="Invoiced",G54="Paid"),"Committed",IF(G54="Quoted","Pending",IF(G54="Rejected","Excluded","Check status"))))</f>
        <v/>
      </c>
    </row>
    <row r="55">
      <c r="A55" s="14" t="n"/>
      <c r="B55" s="39" t="n"/>
      <c r="C55" s="14" t="n"/>
      <c r="D55" s="14" t="n"/>
      <c r="E55" s="14" t="n"/>
      <c r="F55" s="16" t="n"/>
      <c r="G55" s="14" t="n"/>
      <c r="H55" s="14" t="n"/>
      <c r="I55" s="14" t="n"/>
      <c r="J55" s="11">
        <f>IF(AND(F55="",G55=""),"",IF(OR(G55="Agreed",G55="Signed",G55="Invoiced",G55="Paid"),"Committed",IF(G55="Quoted","Pending",IF(G55="Rejected","Excluded","Check status"))))</f>
        <v/>
      </c>
    </row>
    <row r="56">
      <c r="A56" s="14" t="n"/>
      <c r="B56" s="39" t="n"/>
      <c r="C56" s="14" t="n"/>
      <c r="D56" s="14" t="n"/>
      <c r="E56" s="14" t="n"/>
      <c r="F56" s="16" t="n"/>
      <c r="G56" s="14" t="n"/>
      <c r="H56" s="14" t="n"/>
      <c r="I56" s="14" t="n"/>
      <c r="J56" s="11">
        <f>IF(AND(F56="",G56=""),"",IF(OR(G56="Agreed",G56="Signed",G56="Invoiced",G56="Paid"),"Committed",IF(G56="Quoted","Pending",IF(G56="Rejected","Excluded","Check status"))))</f>
        <v/>
      </c>
    </row>
    <row r="57">
      <c r="A57" s="14" t="n"/>
      <c r="B57" s="39" t="n"/>
      <c r="C57" s="14" t="n"/>
      <c r="D57" s="14" t="n"/>
      <c r="E57" s="14" t="n"/>
      <c r="F57" s="16" t="n"/>
      <c r="G57" s="14" t="n"/>
      <c r="H57" s="14" t="n"/>
      <c r="I57" s="14" t="n"/>
      <c r="J57" s="11">
        <f>IF(AND(F57="",G57=""),"",IF(OR(G57="Agreed",G57="Signed",G57="Invoiced",G57="Paid"),"Committed",IF(G57="Quoted","Pending",IF(G57="Rejected","Excluded","Check status"))))</f>
        <v/>
      </c>
    </row>
    <row r="58">
      <c r="A58" s="14" t="n"/>
      <c r="B58" s="39" t="n"/>
      <c r="C58" s="14" t="n"/>
      <c r="D58" s="14" t="n"/>
      <c r="E58" s="14" t="n"/>
      <c r="F58" s="16" t="n"/>
      <c r="G58" s="14" t="n"/>
      <c r="H58" s="14" t="n"/>
      <c r="I58" s="14" t="n"/>
      <c r="J58" s="11">
        <f>IF(AND(F58="",G58=""),"",IF(OR(G58="Agreed",G58="Signed",G58="Invoiced",G58="Paid"),"Committed",IF(G58="Quoted","Pending",IF(G58="Rejected","Excluded","Check status"))))</f>
        <v/>
      </c>
    </row>
    <row r="59">
      <c r="A59" s="14" t="n"/>
      <c r="B59" s="39" t="n"/>
      <c r="C59" s="14" t="n"/>
      <c r="D59" s="14" t="n"/>
      <c r="E59" s="14" t="n"/>
      <c r="F59" s="16" t="n"/>
      <c r="G59" s="14" t="n"/>
      <c r="H59" s="14" t="n"/>
      <c r="I59" s="14" t="n"/>
      <c r="J59" s="11">
        <f>IF(AND(F59="",G59=""),"",IF(OR(G59="Agreed",G59="Signed",G59="Invoiced",G59="Paid"),"Committed",IF(G59="Quoted","Pending",IF(G59="Rejected","Excluded","Check status"))))</f>
        <v/>
      </c>
    </row>
    <row r="60">
      <c r="A60" s="14" t="n"/>
      <c r="B60" s="39" t="n"/>
      <c r="C60" s="14" t="n"/>
      <c r="D60" s="14" t="n"/>
      <c r="E60" s="14" t="n"/>
      <c r="F60" s="16" t="n"/>
      <c r="G60" s="14" t="n"/>
      <c r="H60" s="14" t="n"/>
      <c r="I60" s="14" t="n"/>
      <c r="J60" s="11">
        <f>IF(AND(F60="",G60=""),"",IF(OR(G60="Agreed",G60="Signed",G60="Invoiced",G60="Paid"),"Committed",IF(G60="Quoted","Pending",IF(G60="Rejected","Excluded","Check status"))))</f>
        <v/>
      </c>
    </row>
    <row r="61">
      <c r="A61" s="14" t="n"/>
      <c r="B61" s="39" t="n"/>
      <c r="C61" s="14" t="n"/>
      <c r="D61" s="14" t="n"/>
      <c r="E61" s="14" t="n"/>
      <c r="F61" s="16" t="n"/>
      <c r="G61" s="14" t="n"/>
      <c r="H61" s="14" t="n"/>
      <c r="I61" s="14" t="n"/>
      <c r="J61" s="11">
        <f>IF(AND(F61="",G61=""),"",IF(OR(G61="Agreed",G61="Signed",G61="Invoiced",G61="Paid"),"Committed",IF(G61="Quoted","Pending",IF(G61="Rejected","Excluded","Check status"))))</f>
        <v/>
      </c>
    </row>
    <row r="62">
      <c r="A62" s="14" t="n"/>
      <c r="B62" s="39" t="n"/>
      <c r="C62" s="14" t="n"/>
      <c r="D62" s="14" t="n"/>
      <c r="E62" s="14" t="n"/>
      <c r="F62" s="16" t="n"/>
      <c r="G62" s="14" t="n"/>
      <c r="H62" s="14" t="n"/>
      <c r="I62" s="14" t="n"/>
      <c r="J62" s="11">
        <f>IF(AND(F62="",G62=""),"",IF(OR(G62="Agreed",G62="Signed",G62="Invoiced",G62="Paid"),"Committed",IF(G62="Quoted","Pending",IF(G62="Rejected","Excluded","Check status"))))</f>
        <v/>
      </c>
    </row>
    <row r="63">
      <c r="A63" s="14" t="n"/>
      <c r="B63" s="39" t="n"/>
      <c r="C63" s="14" t="n"/>
      <c r="D63" s="14" t="n"/>
      <c r="E63" s="14" t="n"/>
      <c r="F63" s="16" t="n"/>
      <c r="G63" s="14" t="n"/>
      <c r="H63" s="14" t="n"/>
      <c r="I63" s="14" t="n"/>
      <c r="J63" s="11">
        <f>IF(AND(F63="",G63=""),"",IF(OR(G63="Agreed",G63="Signed",G63="Invoiced",G63="Paid"),"Committed",IF(G63="Quoted","Pending",IF(G63="Rejected","Excluded","Check status"))))</f>
        <v/>
      </c>
    </row>
    <row r="64">
      <c r="A64" s="14" t="n"/>
      <c r="B64" s="39" t="n"/>
      <c r="C64" s="14" t="n"/>
      <c r="D64" s="14" t="n"/>
      <c r="E64" s="14" t="n"/>
      <c r="F64" s="16" t="n"/>
      <c r="G64" s="14" t="n"/>
      <c r="H64" s="14" t="n"/>
      <c r="I64" s="14" t="n"/>
      <c r="J64" s="11">
        <f>IF(AND(F64="",G64=""),"",IF(OR(G64="Agreed",G64="Signed",G64="Invoiced",G64="Paid"),"Committed",IF(G64="Quoted","Pending",IF(G64="Rejected","Excluded","Check status"))))</f>
        <v/>
      </c>
    </row>
    <row r="65">
      <c r="A65" s="14" t="n"/>
      <c r="B65" s="39" t="n"/>
      <c r="C65" s="14" t="n"/>
      <c r="D65" s="14" t="n"/>
      <c r="E65" s="14" t="n"/>
      <c r="F65" s="16" t="n"/>
      <c r="G65" s="14" t="n"/>
      <c r="H65" s="14" t="n"/>
      <c r="I65" s="14" t="n"/>
      <c r="J65" s="11">
        <f>IF(AND(F65="",G65=""),"",IF(OR(G65="Agreed",G65="Signed",G65="Invoiced",G65="Paid"),"Committed",IF(G65="Quoted","Pending",IF(G65="Rejected","Excluded","Check status"))))</f>
        <v/>
      </c>
    </row>
    <row r="66">
      <c r="A66" s="14" t="n"/>
      <c r="B66" s="39" t="n"/>
      <c r="C66" s="14" t="n"/>
      <c r="D66" s="14" t="n"/>
      <c r="E66" s="14" t="n"/>
      <c r="F66" s="16" t="n"/>
      <c r="G66" s="14" t="n"/>
      <c r="H66" s="14" t="n"/>
      <c r="I66" s="14" t="n"/>
      <c r="J66" s="11">
        <f>IF(AND(F66="",G66=""),"",IF(OR(G66="Agreed",G66="Signed",G66="Invoiced",G66="Paid"),"Committed",IF(G66="Quoted","Pending",IF(G66="Rejected","Excluded","Check status"))))</f>
        <v/>
      </c>
    </row>
    <row r="67">
      <c r="A67" s="14" t="n"/>
      <c r="B67" s="39" t="n"/>
      <c r="C67" s="14" t="n"/>
      <c r="D67" s="14" t="n"/>
      <c r="E67" s="14" t="n"/>
      <c r="F67" s="16" t="n"/>
      <c r="G67" s="14" t="n"/>
      <c r="H67" s="14" t="n"/>
      <c r="I67" s="14" t="n"/>
      <c r="J67" s="11">
        <f>IF(AND(F67="",G67=""),"",IF(OR(G67="Agreed",G67="Signed",G67="Invoiced",G67="Paid"),"Committed",IF(G67="Quoted","Pending",IF(G67="Rejected","Excluded","Check status"))))</f>
        <v/>
      </c>
    </row>
    <row r="68">
      <c r="A68" s="14" t="n"/>
      <c r="B68" s="39" t="n"/>
      <c r="C68" s="14" t="n"/>
      <c r="D68" s="14" t="n"/>
      <c r="E68" s="14" t="n"/>
      <c r="F68" s="16" t="n"/>
      <c r="G68" s="14" t="n"/>
      <c r="H68" s="14" t="n"/>
      <c r="I68" s="14" t="n"/>
      <c r="J68" s="11">
        <f>IF(AND(F68="",G68=""),"",IF(OR(G68="Agreed",G68="Signed",G68="Invoiced",G68="Paid"),"Committed",IF(G68="Quoted","Pending",IF(G68="Rejected","Excluded","Check status"))))</f>
        <v/>
      </c>
    </row>
    <row r="69">
      <c r="A69" s="14" t="n"/>
      <c r="B69" s="39" t="n"/>
      <c r="C69" s="14" t="n"/>
      <c r="D69" s="14" t="n"/>
      <c r="E69" s="14" t="n"/>
      <c r="F69" s="16" t="n"/>
      <c r="G69" s="14" t="n"/>
      <c r="H69" s="14" t="n"/>
      <c r="I69" s="14" t="n"/>
      <c r="J69" s="11">
        <f>IF(AND(F69="",G69=""),"",IF(OR(G69="Agreed",G69="Signed",G69="Invoiced",G69="Paid"),"Committed",IF(G69="Quoted","Pending",IF(G69="Rejected","Excluded","Check status"))))</f>
        <v/>
      </c>
    </row>
    <row r="70">
      <c r="A70" s="14" t="n"/>
      <c r="B70" s="39" t="n"/>
      <c r="C70" s="14" t="n"/>
      <c r="D70" s="14" t="n"/>
      <c r="E70" s="14" t="n"/>
      <c r="F70" s="16" t="n"/>
      <c r="G70" s="14" t="n"/>
      <c r="H70" s="14" t="n"/>
      <c r="I70" s="14" t="n"/>
      <c r="J70" s="11">
        <f>IF(AND(F70="",G70=""),"",IF(OR(G70="Agreed",G70="Signed",G70="Invoiced",G70="Paid"),"Committed",IF(G70="Quoted","Pending",IF(G70="Rejected","Excluded","Check status"))))</f>
        <v/>
      </c>
    </row>
    <row r="71">
      <c r="A71" s="14" t="n"/>
      <c r="B71" s="39" t="n"/>
      <c r="C71" s="14" t="n"/>
      <c r="D71" s="14" t="n"/>
      <c r="E71" s="14" t="n"/>
      <c r="F71" s="16" t="n"/>
      <c r="G71" s="14" t="n"/>
      <c r="H71" s="14" t="n"/>
      <c r="I71" s="14" t="n"/>
      <c r="J71" s="11">
        <f>IF(AND(F71="",G71=""),"",IF(OR(G71="Agreed",G71="Signed",G71="Invoiced",G71="Paid"),"Committed",IF(G71="Quoted","Pending",IF(G71="Rejected","Excluded","Check status"))))</f>
        <v/>
      </c>
    </row>
    <row r="72">
      <c r="A72" s="14" t="n"/>
      <c r="B72" s="39" t="n"/>
      <c r="C72" s="14" t="n"/>
      <c r="D72" s="14" t="n"/>
      <c r="E72" s="14" t="n"/>
      <c r="F72" s="16" t="n"/>
      <c r="G72" s="14" t="n"/>
      <c r="H72" s="14" t="n"/>
      <c r="I72" s="14" t="n"/>
      <c r="J72" s="11">
        <f>IF(AND(F72="",G72=""),"",IF(OR(G72="Agreed",G72="Signed",G72="Invoiced",G72="Paid"),"Committed",IF(G72="Quoted","Pending",IF(G72="Rejected","Excluded","Check status"))))</f>
        <v/>
      </c>
    </row>
    <row r="73">
      <c r="A73" s="14" t="n"/>
      <c r="B73" s="39" t="n"/>
      <c r="C73" s="14" t="n"/>
      <c r="D73" s="14" t="n"/>
      <c r="E73" s="14" t="n"/>
      <c r="F73" s="16" t="n"/>
      <c r="G73" s="14" t="n"/>
      <c r="H73" s="14" t="n"/>
      <c r="I73" s="14" t="n"/>
      <c r="J73" s="11">
        <f>IF(AND(F73="",G73=""),"",IF(OR(G73="Agreed",G73="Signed",G73="Invoiced",G73="Paid"),"Committed",IF(G73="Quoted","Pending",IF(G73="Rejected","Excluded","Check status"))))</f>
        <v/>
      </c>
    </row>
    <row r="74">
      <c r="A74" s="14" t="n"/>
      <c r="B74" s="39" t="n"/>
      <c r="C74" s="14" t="n"/>
      <c r="D74" s="14" t="n"/>
      <c r="E74" s="14" t="n"/>
      <c r="F74" s="16" t="n"/>
      <c r="G74" s="14" t="n"/>
      <c r="H74" s="14" t="n"/>
      <c r="I74" s="14" t="n"/>
      <c r="J74" s="11">
        <f>IF(AND(F74="",G74=""),"",IF(OR(G74="Agreed",G74="Signed",G74="Invoiced",G74="Paid"),"Committed",IF(G74="Quoted","Pending",IF(G74="Rejected","Excluded","Check status"))))</f>
        <v/>
      </c>
    </row>
    <row r="75">
      <c r="A75" s="14" t="n"/>
      <c r="B75" s="39" t="n"/>
      <c r="C75" s="14" t="n"/>
      <c r="D75" s="14" t="n"/>
      <c r="E75" s="14" t="n"/>
      <c r="F75" s="16" t="n"/>
      <c r="G75" s="14" t="n"/>
      <c r="H75" s="14" t="n"/>
      <c r="I75" s="14" t="n"/>
      <c r="J75" s="11">
        <f>IF(AND(F75="",G75=""),"",IF(OR(G75="Agreed",G75="Signed",G75="Invoiced",G75="Paid"),"Committed",IF(G75="Quoted","Pending",IF(G75="Rejected","Excluded","Check status"))))</f>
        <v/>
      </c>
    </row>
    <row r="76">
      <c r="A76" s="14" t="n"/>
      <c r="B76" s="39" t="n"/>
      <c r="C76" s="14" t="n"/>
      <c r="D76" s="14" t="n"/>
      <c r="E76" s="14" t="n"/>
      <c r="F76" s="16" t="n"/>
      <c r="G76" s="14" t="n"/>
      <c r="H76" s="14" t="n"/>
      <c r="I76" s="14" t="n"/>
      <c r="J76" s="11">
        <f>IF(AND(F76="",G76=""),"",IF(OR(G76="Agreed",G76="Signed",G76="Invoiced",G76="Paid"),"Committed",IF(G76="Quoted","Pending",IF(G76="Rejected","Excluded","Check status"))))</f>
        <v/>
      </c>
    </row>
    <row r="77">
      <c r="A77" s="14" t="n"/>
      <c r="B77" s="39" t="n"/>
      <c r="C77" s="14" t="n"/>
      <c r="D77" s="14" t="n"/>
      <c r="E77" s="14" t="n"/>
      <c r="F77" s="16" t="n"/>
      <c r="G77" s="14" t="n"/>
      <c r="H77" s="14" t="n"/>
      <c r="I77" s="14" t="n"/>
      <c r="J77" s="11">
        <f>IF(AND(F77="",G77=""),"",IF(OR(G77="Agreed",G77="Signed",G77="Invoiced",G77="Paid"),"Committed",IF(G77="Quoted","Pending",IF(G77="Rejected","Excluded","Check status"))))</f>
        <v/>
      </c>
    </row>
    <row r="78">
      <c r="A78" s="14" t="n"/>
      <c r="B78" s="39" t="n"/>
      <c r="C78" s="14" t="n"/>
      <c r="D78" s="14" t="n"/>
      <c r="E78" s="14" t="n"/>
      <c r="F78" s="16" t="n"/>
      <c r="G78" s="14" t="n"/>
      <c r="H78" s="14" t="n"/>
      <c r="I78" s="14" t="n"/>
      <c r="J78" s="11">
        <f>IF(AND(F78="",G78=""),"",IF(OR(G78="Agreed",G78="Signed",G78="Invoiced",G78="Paid"),"Committed",IF(G78="Quoted","Pending",IF(G78="Rejected","Excluded","Check status"))))</f>
        <v/>
      </c>
    </row>
    <row r="79">
      <c r="A79" s="14" t="n"/>
      <c r="B79" s="39" t="n"/>
      <c r="C79" s="14" t="n"/>
      <c r="D79" s="14" t="n"/>
      <c r="E79" s="14" t="n"/>
      <c r="F79" s="16" t="n"/>
      <c r="G79" s="14" t="n"/>
      <c r="H79" s="14" t="n"/>
      <c r="I79" s="14" t="n"/>
      <c r="J79" s="11">
        <f>IF(AND(F79="",G79=""),"",IF(OR(G79="Agreed",G79="Signed",G79="Invoiced",G79="Paid"),"Committed",IF(G79="Quoted","Pending",IF(G79="Rejected","Excluded","Check status"))))</f>
        <v/>
      </c>
    </row>
    <row r="80">
      <c r="A80" s="14" t="n"/>
      <c r="B80" s="39" t="n"/>
      <c r="C80" s="14" t="n"/>
      <c r="D80" s="14" t="n"/>
      <c r="E80" s="14" t="n"/>
      <c r="F80" s="16" t="n"/>
      <c r="G80" s="14" t="n"/>
      <c r="H80" s="14" t="n"/>
      <c r="I80" s="14" t="n"/>
      <c r="J80" s="11">
        <f>IF(AND(F80="",G80=""),"",IF(OR(G80="Agreed",G80="Signed",G80="Invoiced",G80="Paid"),"Committed",IF(G80="Quoted","Pending",IF(G80="Rejected","Excluded","Check status"))))</f>
        <v/>
      </c>
    </row>
    <row r="81">
      <c r="A81" s="14" t="n"/>
      <c r="B81" s="39" t="n"/>
      <c r="C81" s="14" t="n"/>
      <c r="D81" s="14" t="n"/>
      <c r="E81" s="14" t="n"/>
      <c r="F81" s="16" t="n"/>
      <c r="G81" s="14" t="n"/>
      <c r="H81" s="14" t="n"/>
      <c r="I81" s="14" t="n"/>
      <c r="J81" s="11">
        <f>IF(AND(F81="",G81=""),"",IF(OR(G81="Agreed",G81="Signed",G81="Invoiced",G81="Paid"),"Committed",IF(G81="Quoted","Pending",IF(G81="Rejected","Excluded","Check status"))))</f>
        <v/>
      </c>
    </row>
    <row r="82">
      <c r="A82" s="14" t="n"/>
      <c r="B82" s="39" t="n"/>
      <c r="C82" s="14" t="n"/>
      <c r="D82" s="14" t="n"/>
      <c r="E82" s="14" t="n"/>
      <c r="F82" s="16" t="n"/>
      <c r="G82" s="14" t="n"/>
      <c r="H82" s="14" t="n"/>
      <c r="I82" s="14" t="n"/>
      <c r="J82" s="11">
        <f>IF(AND(F82="",G82=""),"",IF(OR(G82="Agreed",G82="Signed",G82="Invoiced",G82="Paid"),"Committed",IF(G82="Quoted","Pending",IF(G82="Rejected","Excluded","Check status"))))</f>
        <v/>
      </c>
    </row>
    <row r="83">
      <c r="A83" s="14" t="n"/>
      <c r="B83" s="39" t="n"/>
      <c r="C83" s="14" t="n"/>
      <c r="D83" s="14" t="n"/>
      <c r="E83" s="14" t="n"/>
      <c r="F83" s="16" t="n"/>
      <c r="G83" s="14" t="n"/>
      <c r="H83" s="14" t="n"/>
      <c r="I83" s="14" t="n"/>
      <c r="J83" s="11">
        <f>IF(AND(F83="",G83=""),"",IF(OR(G83="Agreed",G83="Signed",G83="Invoiced",G83="Paid"),"Committed",IF(G83="Quoted","Pending",IF(G83="Rejected","Excluded","Check status"))))</f>
        <v/>
      </c>
    </row>
    <row r="84">
      <c r="A84" s="14" t="n"/>
      <c r="B84" s="39" t="n"/>
      <c r="C84" s="14" t="n"/>
      <c r="D84" s="14" t="n"/>
      <c r="E84" s="14" t="n"/>
      <c r="F84" s="16" t="n"/>
      <c r="G84" s="14" t="n"/>
      <c r="H84" s="14" t="n"/>
      <c r="I84" s="14" t="n"/>
      <c r="J84" s="11">
        <f>IF(AND(F84="",G84=""),"",IF(OR(G84="Agreed",G84="Signed",G84="Invoiced",G84="Paid"),"Committed",IF(G84="Quoted","Pending",IF(G84="Rejected","Excluded","Check status"))))</f>
        <v/>
      </c>
    </row>
    <row r="85">
      <c r="A85" s="14" t="n"/>
      <c r="B85" s="39" t="n"/>
      <c r="C85" s="14" t="n"/>
      <c r="D85" s="14" t="n"/>
      <c r="E85" s="14" t="n"/>
      <c r="F85" s="16" t="n"/>
      <c r="G85" s="14" t="n"/>
      <c r="H85" s="14" t="n"/>
      <c r="I85" s="14" t="n"/>
      <c r="J85" s="11">
        <f>IF(AND(F85="",G85=""),"",IF(OR(G85="Agreed",G85="Signed",G85="Invoiced",G85="Paid"),"Committed",IF(G85="Quoted","Pending",IF(G85="Rejected","Excluded","Check status"))))</f>
        <v/>
      </c>
    </row>
    <row r="86">
      <c r="A86" s="14" t="n"/>
      <c r="B86" s="39" t="n"/>
      <c r="C86" s="14" t="n"/>
      <c r="D86" s="14" t="n"/>
      <c r="E86" s="14" t="n"/>
      <c r="F86" s="16" t="n"/>
      <c r="G86" s="14" t="n"/>
      <c r="H86" s="14" t="n"/>
      <c r="I86" s="14" t="n"/>
      <c r="J86" s="11">
        <f>IF(AND(F86="",G86=""),"",IF(OR(G86="Agreed",G86="Signed",G86="Invoiced",G86="Paid"),"Committed",IF(G86="Quoted","Pending",IF(G86="Rejected","Excluded","Check status"))))</f>
        <v/>
      </c>
    </row>
    <row r="87">
      <c r="A87" s="14" t="n"/>
      <c r="B87" s="39" t="n"/>
      <c r="C87" s="14" t="n"/>
      <c r="D87" s="14" t="n"/>
      <c r="E87" s="14" t="n"/>
      <c r="F87" s="16" t="n"/>
      <c r="G87" s="14" t="n"/>
      <c r="H87" s="14" t="n"/>
      <c r="I87" s="14" t="n"/>
      <c r="J87" s="11">
        <f>IF(AND(F87="",G87=""),"",IF(OR(G87="Agreed",G87="Signed",G87="Invoiced",G87="Paid"),"Committed",IF(G87="Quoted","Pending",IF(G87="Rejected","Excluded","Check status"))))</f>
        <v/>
      </c>
    </row>
    <row r="88">
      <c r="A88" s="14" t="n"/>
      <c r="B88" s="39" t="n"/>
      <c r="C88" s="14" t="n"/>
      <c r="D88" s="14" t="n"/>
      <c r="E88" s="14" t="n"/>
      <c r="F88" s="16" t="n"/>
      <c r="G88" s="14" t="n"/>
      <c r="H88" s="14" t="n"/>
      <c r="I88" s="14" t="n"/>
      <c r="J88" s="11">
        <f>IF(AND(F88="",G88=""),"",IF(OR(G88="Agreed",G88="Signed",G88="Invoiced",G88="Paid"),"Committed",IF(G88="Quoted","Pending",IF(G88="Rejected","Excluded","Check status"))))</f>
        <v/>
      </c>
    </row>
    <row r="89">
      <c r="A89" s="14" t="n"/>
      <c r="B89" s="39" t="n"/>
      <c r="C89" s="14" t="n"/>
      <c r="D89" s="14" t="n"/>
      <c r="E89" s="14" t="n"/>
      <c r="F89" s="16" t="n"/>
      <c r="G89" s="14" t="n"/>
      <c r="H89" s="14" t="n"/>
      <c r="I89" s="14" t="n"/>
      <c r="J89" s="11">
        <f>IF(AND(F89="",G89=""),"",IF(OR(G89="Agreed",G89="Signed",G89="Invoiced",G89="Paid"),"Committed",IF(G89="Quoted","Pending",IF(G89="Rejected","Excluded","Check status"))))</f>
        <v/>
      </c>
    </row>
    <row r="90">
      <c r="A90" s="14" t="n"/>
      <c r="B90" s="39" t="n"/>
      <c r="C90" s="14" t="n"/>
      <c r="D90" s="14" t="n"/>
      <c r="E90" s="14" t="n"/>
      <c r="F90" s="16" t="n"/>
      <c r="G90" s="14" t="n"/>
      <c r="H90" s="14" t="n"/>
      <c r="I90" s="14" t="n"/>
      <c r="J90" s="11">
        <f>IF(AND(F90="",G90=""),"",IF(OR(G90="Agreed",G90="Signed",G90="Invoiced",G90="Paid"),"Committed",IF(G90="Quoted","Pending",IF(G90="Rejected","Excluded","Check status"))))</f>
        <v/>
      </c>
    </row>
    <row r="91">
      <c r="A91" s="14" t="n"/>
      <c r="B91" s="39" t="n"/>
      <c r="C91" s="14" t="n"/>
      <c r="D91" s="14" t="n"/>
      <c r="E91" s="14" t="n"/>
      <c r="F91" s="16" t="n"/>
      <c r="G91" s="14" t="n"/>
      <c r="H91" s="14" t="n"/>
      <c r="I91" s="14" t="n"/>
      <c r="J91" s="11">
        <f>IF(AND(F91="",G91=""),"",IF(OR(G91="Agreed",G91="Signed",G91="Invoiced",G91="Paid"),"Committed",IF(G91="Quoted","Pending",IF(G91="Rejected","Excluded","Check status"))))</f>
        <v/>
      </c>
    </row>
    <row r="92">
      <c r="A92" s="14" t="n"/>
      <c r="B92" s="39" t="n"/>
      <c r="C92" s="14" t="n"/>
      <c r="D92" s="14" t="n"/>
      <c r="E92" s="14" t="n"/>
      <c r="F92" s="16" t="n"/>
      <c r="G92" s="14" t="n"/>
      <c r="H92" s="14" t="n"/>
      <c r="I92" s="14" t="n"/>
      <c r="J92" s="11">
        <f>IF(AND(F92="",G92=""),"",IF(OR(G92="Agreed",G92="Signed",G92="Invoiced",G92="Paid"),"Committed",IF(G92="Quoted","Pending",IF(G92="Rejected","Excluded","Check status"))))</f>
        <v/>
      </c>
    </row>
    <row r="93">
      <c r="A93" s="14" t="n"/>
      <c r="B93" s="39" t="n"/>
      <c r="C93" s="14" t="n"/>
      <c r="D93" s="14" t="n"/>
      <c r="E93" s="14" t="n"/>
      <c r="F93" s="16" t="n"/>
      <c r="G93" s="14" t="n"/>
      <c r="H93" s="14" t="n"/>
      <c r="I93" s="14" t="n"/>
      <c r="J93" s="11">
        <f>IF(AND(F93="",G93=""),"",IF(OR(G93="Agreed",G93="Signed",G93="Invoiced",G93="Paid"),"Committed",IF(G93="Quoted","Pending",IF(G93="Rejected","Excluded","Check status"))))</f>
        <v/>
      </c>
    </row>
    <row r="94">
      <c r="A94" s="14" t="n"/>
      <c r="B94" s="39" t="n"/>
      <c r="C94" s="14" t="n"/>
      <c r="D94" s="14" t="n"/>
      <c r="E94" s="14" t="n"/>
      <c r="F94" s="16" t="n"/>
      <c r="G94" s="14" t="n"/>
      <c r="H94" s="14" t="n"/>
      <c r="I94" s="14" t="n"/>
      <c r="J94" s="11">
        <f>IF(AND(F94="",G94=""),"",IF(OR(G94="Agreed",G94="Signed",G94="Invoiced",G94="Paid"),"Committed",IF(G94="Quoted","Pending",IF(G94="Rejected","Excluded","Check status"))))</f>
        <v/>
      </c>
    </row>
    <row r="95">
      <c r="A95" s="14" t="n"/>
      <c r="B95" s="39" t="n"/>
      <c r="C95" s="14" t="n"/>
      <c r="D95" s="14" t="n"/>
      <c r="E95" s="14" t="n"/>
      <c r="F95" s="16" t="n"/>
      <c r="G95" s="14" t="n"/>
      <c r="H95" s="14" t="n"/>
      <c r="I95" s="14" t="n"/>
      <c r="J95" s="11">
        <f>IF(AND(F95="",G95=""),"",IF(OR(G95="Agreed",G95="Signed",G95="Invoiced",G95="Paid"),"Committed",IF(G95="Quoted","Pending",IF(G95="Rejected","Excluded","Check status"))))</f>
        <v/>
      </c>
    </row>
    <row r="96">
      <c r="A96" s="14" t="n"/>
      <c r="B96" s="39" t="n"/>
      <c r="C96" s="14" t="n"/>
      <c r="D96" s="14" t="n"/>
      <c r="E96" s="14" t="n"/>
      <c r="F96" s="16" t="n"/>
      <c r="G96" s="14" t="n"/>
      <c r="H96" s="14" t="n"/>
      <c r="I96" s="14" t="n"/>
      <c r="J96" s="11">
        <f>IF(AND(F96="",G96=""),"",IF(OR(G96="Agreed",G96="Signed",G96="Invoiced",G96="Paid"),"Committed",IF(G96="Quoted","Pending",IF(G96="Rejected","Excluded","Check status"))))</f>
        <v/>
      </c>
    </row>
    <row r="97">
      <c r="A97" s="14" t="n"/>
      <c r="B97" s="39" t="n"/>
      <c r="C97" s="14" t="n"/>
      <c r="D97" s="14" t="n"/>
      <c r="E97" s="14" t="n"/>
      <c r="F97" s="16" t="n"/>
      <c r="G97" s="14" t="n"/>
      <c r="H97" s="14" t="n"/>
      <c r="I97" s="14" t="n"/>
      <c r="J97" s="11">
        <f>IF(AND(F97="",G97=""),"",IF(OR(G97="Agreed",G97="Signed",G97="Invoiced",G97="Paid"),"Committed",IF(G97="Quoted","Pending",IF(G97="Rejected","Excluded","Check status"))))</f>
        <v/>
      </c>
    </row>
    <row r="98">
      <c r="A98" s="14" t="n"/>
      <c r="B98" s="39" t="n"/>
      <c r="C98" s="14" t="n"/>
      <c r="D98" s="14" t="n"/>
      <c r="E98" s="14" t="n"/>
      <c r="F98" s="16" t="n"/>
      <c r="G98" s="14" t="n"/>
      <c r="H98" s="14" t="n"/>
      <c r="I98" s="14" t="n"/>
      <c r="J98" s="11">
        <f>IF(AND(F98="",G98=""),"",IF(OR(G98="Agreed",G98="Signed",G98="Invoiced",G98="Paid"),"Committed",IF(G98="Quoted","Pending",IF(G98="Rejected","Excluded","Check status"))))</f>
        <v/>
      </c>
    </row>
    <row r="99">
      <c r="A99" s="14" t="n"/>
      <c r="B99" s="39" t="n"/>
      <c r="C99" s="14" t="n"/>
      <c r="D99" s="14" t="n"/>
      <c r="E99" s="14" t="n"/>
      <c r="F99" s="16" t="n"/>
      <c r="G99" s="14" t="n"/>
      <c r="H99" s="14" t="n"/>
      <c r="I99" s="14" t="n"/>
      <c r="J99" s="11">
        <f>IF(AND(F99="",G99=""),"",IF(OR(G99="Agreed",G99="Signed",G99="Invoiced",G99="Paid"),"Committed",IF(G99="Quoted","Pending",IF(G99="Rejected","Excluded","Check status"))))</f>
        <v/>
      </c>
    </row>
    <row r="100">
      <c r="A100" s="14" t="n"/>
      <c r="B100" s="39" t="n"/>
      <c r="C100" s="14" t="n"/>
      <c r="D100" s="14" t="n"/>
      <c r="E100" s="14" t="n"/>
      <c r="F100" s="16" t="n"/>
      <c r="G100" s="14" t="n"/>
      <c r="H100" s="14" t="n"/>
      <c r="I100" s="14" t="n"/>
      <c r="J100" s="11">
        <f>IF(AND(F100="",G100=""),"",IF(OR(G100="Agreed",G100="Signed",G100="Invoiced",G100="Paid"),"Committed",IF(G100="Quoted","Pending",IF(G100="Rejected","Excluded","Check status"))))</f>
        <v/>
      </c>
    </row>
    <row r="101">
      <c r="A101" s="14" t="n"/>
      <c r="B101" s="39" t="n"/>
      <c r="C101" s="14" t="n"/>
      <c r="D101" s="14" t="n"/>
      <c r="E101" s="14" t="n"/>
      <c r="F101" s="16" t="n"/>
      <c r="G101" s="14" t="n"/>
      <c r="H101" s="14" t="n"/>
      <c r="I101" s="14" t="n"/>
      <c r="J101" s="11">
        <f>IF(AND(F101="",G101=""),"",IF(OR(G101="Agreed",G101="Signed",G101="Invoiced",G101="Paid"),"Committed",IF(G101="Quoted","Pending",IF(G101="Rejected","Excluded","Check status"))))</f>
        <v/>
      </c>
    </row>
    <row r="102">
      <c r="A102" s="14" t="n"/>
      <c r="B102" s="39" t="n"/>
      <c r="C102" s="14" t="n"/>
      <c r="D102" s="14" t="n"/>
      <c r="E102" s="14" t="n"/>
      <c r="F102" s="16" t="n"/>
      <c r="G102" s="14" t="n"/>
      <c r="H102" s="14" t="n"/>
      <c r="I102" s="14" t="n"/>
      <c r="J102" s="11">
        <f>IF(AND(F102="",G102=""),"",IF(OR(G102="Agreed",G102="Signed",G102="Invoiced",G102="Paid"),"Committed",IF(G102="Quoted","Pending",IF(G102="Rejected","Excluded","Check status"))))</f>
        <v/>
      </c>
    </row>
    <row r="103">
      <c r="A103" s="14" t="n"/>
      <c r="B103" s="39" t="n"/>
      <c r="C103" s="14" t="n"/>
      <c r="D103" s="14" t="n"/>
      <c r="E103" s="14" t="n"/>
      <c r="F103" s="16" t="n"/>
      <c r="G103" s="14" t="n"/>
      <c r="H103" s="14" t="n"/>
      <c r="I103" s="14" t="n"/>
      <c r="J103" s="11">
        <f>IF(AND(F103="",G103=""),"",IF(OR(G103="Agreed",G103="Signed",G103="Invoiced",G103="Paid"),"Committed",IF(G103="Quoted","Pending",IF(G103="Rejected","Excluded","Check status"))))</f>
        <v/>
      </c>
    </row>
    <row r="104">
      <c r="A104" s="14" t="n"/>
      <c r="B104" s="39" t="n"/>
      <c r="C104" s="14" t="n"/>
      <c r="D104" s="14" t="n"/>
      <c r="E104" s="14" t="n"/>
      <c r="F104" s="16" t="n"/>
      <c r="G104" s="14" t="n"/>
      <c r="H104" s="14" t="n"/>
      <c r="I104" s="14" t="n"/>
      <c r="J104" s="11">
        <f>IF(AND(F104="",G104=""),"",IF(OR(G104="Agreed",G104="Signed",G104="Invoiced",G104="Paid"),"Committed",IF(G104="Quoted","Pending",IF(G104="Rejected","Excluded","Check status"))))</f>
        <v/>
      </c>
    </row>
    <row r="105">
      <c r="A105" s="14" t="n"/>
      <c r="B105" s="39" t="n"/>
      <c r="C105" s="14" t="n"/>
      <c r="D105" s="14" t="n"/>
      <c r="E105" s="14" t="n"/>
      <c r="F105" s="16" t="n"/>
      <c r="G105" s="14" t="n"/>
      <c r="H105" s="14" t="n"/>
      <c r="I105" s="14" t="n"/>
      <c r="J105" s="11">
        <f>IF(AND(F105="",G105=""),"",IF(OR(G105="Agreed",G105="Signed",G105="Invoiced",G105="Paid"),"Committed",IF(G105="Quoted","Pending",IF(G105="Rejected","Excluded","Check status"))))</f>
        <v/>
      </c>
    </row>
    <row r="106">
      <c r="A106" s="14" t="n"/>
      <c r="B106" s="39" t="n"/>
      <c r="C106" s="14" t="n"/>
      <c r="D106" s="14" t="n"/>
      <c r="E106" s="14" t="n"/>
      <c r="F106" s="16" t="n"/>
      <c r="G106" s="14" t="n"/>
      <c r="H106" s="14" t="n"/>
      <c r="I106" s="14" t="n"/>
      <c r="J106" s="11">
        <f>IF(AND(F106="",G106=""),"",IF(OR(G106="Agreed",G106="Signed",G106="Invoiced",G106="Paid"),"Committed",IF(G106="Quoted","Pending",IF(G106="Rejected","Excluded","Check status"))))</f>
        <v/>
      </c>
    </row>
    <row r="107">
      <c r="A107" s="14" t="n"/>
      <c r="B107" s="39" t="n"/>
      <c r="C107" s="14" t="n"/>
      <c r="D107" s="14" t="n"/>
      <c r="E107" s="14" t="n"/>
      <c r="F107" s="16" t="n"/>
      <c r="G107" s="14" t="n"/>
      <c r="H107" s="14" t="n"/>
      <c r="I107" s="14" t="n"/>
      <c r="J107" s="11">
        <f>IF(AND(F107="",G107=""),"",IF(OR(G107="Agreed",G107="Signed",G107="Invoiced",G107="Paid"),"Committed",IF(G107="Quoted","Pending",IF(G107="Rejected","Excluded","Check status"))))</f>
        <v/>
      </c>
    </row>
    <row r="108">
      <c r="A108" s="14" t="n"/>
      <c r="B108" s="39" t="n"/>
      <c r="C108" s="14" t="n"/>
      <c r="D108" s="14" t="n"/>
      <c r="E108" s="14" t="n"/>
      <c r="F108" s="16" t="n"/>
      <c r="G108" s="14" t="n"/>
      <c r="H108" s="14" t="n"/>
      <c r="I108" s="14" t="n"/>
      <c r="J108" s="11">
        <f>IF(AND(F108="",G108=""),"",IF(OR(G108="Agreed",G108="Signed",G108="Invoiced",G108="Paid"),"Committed",IF(G108="Quoted","Pending",IF(G108="Rejected","Excluded","Check status"))))</f>
        <v/>
      </c>
    </row>
    <row r="109">
      <c r="A109" s="14" t="n"/>
      <c r="B109" s="39" t="n"/>
      <c r="C109" s="14" t="n"/>
      <c r="D109" s="14" t="n"/>
      <c r="E109" s="14" t="n"/>
      <c r="F109" s="16" t="n"/>
      <c r="G109" s="14" t="n"/>
      <c r="H109" s="14" t="n"/>
      <c r="I109" s="14" t="n"/>
      <c r="J109" s="11">
        <f>IF(AND(F109="",G109=""),"",IF(OR(G109="Agreed",G109="Signed",G109="Invoiced",G109="Paid"),"Committed",IF(G109="Quoted","Pending",IF(G109="Rejected","Excluded","Check status"))))</f>
        <v/>
      </c>
    </row>
    <row r="110">
      <c r="A110" s="14" t="n"/>
      <c r="B110" s="39" t="n"/>
      <c r="C110" s="14" t="n"/>
      <c r="D110" s="14" t="n"/>
      <c r="E110" s="14" t="n"/>
      <c r="F110" s="16" t="n"/>
      <c r="G110" s="14" t="n"/>
      <c r="H110" s="14" t="n"/>
      <c r="I110" s="14" t="n"/>
      <c r="J110" s="11">
        <f>IF(AND(F110="",G110=""),"",IF(OR(G110="Agreed",G110="Signed",G110="Invoiced",G110="Paid"),"Committed",IF(G110="Quoted","Pending",IF(G110="Rejected","Excluded","Check status"))))</f>
        <v/>
      </c>
    </row>
    <row r="111">
      <c r="A111" s="14" t="n"/>
      <c r="B111" s="39" t="n"/>
      <c r="C111" s="14" t="n"/>
      <c r="D111" s="14" t="n"/>
      <c r="E111" s="14" t="n"/>
      <c r="F111" s="16" t="n"/>
      <c r="G111" s="14" t="n"/>
      <c r="H111" s="14" t="n"/>
      <c r="I111" s="14" t="n"/>
      <c r="J111" s="11">
        <f>IF(AND(F111="",G111=""),"",IF(OR(G111="Agreed",G111="Signed",G111="Invoiced",G111="Paid"),"Committed",IF(G111="Quoted","Pending",IF(G111="Rejected","Excluded","Check status"))))</f>
        <v/>
      </c>
    </row>
    <row r="112">
      <c r="A112" s="14" t="n"/>
      <c r="B112" s="39" t="n"/>
      <c r="C112" s="14" t="n"/>
      <c r="D112" s="14" t="n"/>
      <c r="E112" s="14" t="n"/>
      <c r="F112" s="16" t="n"/>
      <c r="G112" s="14" t="n"/>
      <c r="H112" s="14" t="n"/>
      <c r="I112" s="14" t="n"/>
      <c r="J112" s="11">
        <f>IF(AND(F112="",G112=""),"",IF(OR(G112="Agreed",G112="Signed",G112="Invoiced",G112="Paid"),"Committed",IF(G112="Quoted","Pending",IF(G112="Rejected","Excluded","Check status"))))</f>
        <v/>
      </c>
    </row>
    <row r="113">
      <c r="A113" s="14" t="n"/>
      <c r="B113" s="39" t="n"/>
      <c r="C113" s="14" t="n"/>
      <c r="D113" s="14" t="n"/>
      <c r="E113" s="14" t="n"/>
      <c r="F113" s="16" t="n"/>
      <c r="G113" s="14" t="n"/>
      <c r="H113" s="14" t="n"/>
      <c r="I113" s="14" t="n"/>
      <c r="J113" s="11">
        <f>IF(AND(F113="",G113=""),"",IF(OR(G113="Agreed",G113="Signed",G113="Invoiced",G113="Paid"),"Committed",IF(G113="Quoted","Pending",IF(G113="Rejected","Excluded","Check status"))))</f>
        <v/>
      </c>
    </row>
    <row r="114">
      <c r="A114" s="14" t="n"/>
      <c r="B114" s="39" t="n"/>
      <c r="C114" s="14" t="n"/>
      <c r="D114" s="14" t="n"/>
      <c r="E114" s="14" t="n"/>
      <c r="F114" s="16" t="n"/>
      <c r="G114" s="14" t="n"/>
      <c r="H114" s="14" t="n"/>
      <c r="I114" s="14" t="n"/>
      <c r="J114" s="11">
        <f>IF(AND(F114="",G114=""),"",IF(OR(G114="Agreed",G114="Signed",G114="Invoiced",G114="Paid"),"Committed",IF(G114="Quoted","Pending",IF(G114="Rejected","Excluded","Check status"))))</f>
        <v/>
      </c>
    </row>
    <row r="115">
      <c r="A115" s="14" t="n"/>
      <c r="B115" s="39" t="n"/>
      <c r="C115" s="14" t="n"/>
      <c r="D115" s="14" t="n"/>
      <c r="E115" s="14" t="n"/>
      <c r="F115" s="16" t="n"/>
      <c r="G115" s="14" t="n"/>
      <c r="H115" s="14" t="n"/>
      <c r="I115" s="14" t="n"/>
      <c r="J115" s="11">
        <f>IF(AND(F115="",G115=""),"",IF(OR(G115="Agreed",G115="Signed",G115="Invoiced",G115="Paid"),"Committed",IF(G115="Quoted","Pending",IF(G115="Rejected","Excluded","Check status"))))</f>
        <v/>
      </c>
    </row>
    <row r="116">
      <c r="A116" s="14" t="n"/>
      <c r="B116" s="39" t="n"/>
      <c r="C116" s="14" t="n"/>
      <c r="D116" s="14" t="n"/>
      <c r="E116" s="14" t="n"/>
      <c r="F116" s="16" t="n"/>
      <c r="G116" s="14" t="n"/>
      <c r="H116" s="14" t="n"/>
      <c r="I116" s="14" t="n"/>
      <c r="J116" s="11">
        <f>IF(AND(F116="",G116=""),"",IF(OR(G116="Agreed",G116="Signed",G116="Invoiced",G116="Paid"),"Committed",IF(G116="Quoted","Pending",IF(G116="Rejected","Excluded","Check status"))))</f>
        <v/>
      </c>
    </row>
    <row r="117">
      <c r="A117" s="14" t="n"/>
      <c r="B117" s="39" t="n"/>
      <c r="C117" s="14" t="n"/>
      <c r="D117" s="14" t="n"/>
      <c r="E117" s="14" t="n"/>
      <c r="F117" s="16" t="n"/>
      <c r="G117" s="14" t="n"/>
      <c r="H117" s="14" t="n"/>
      <c r="I117" s="14" t="n"/>
      <c r="J117" s="11">
        <f>IF(AND(F117="",G117=""),"",IF(OR(G117="Agreed",G117="Signed",G117="Invoiced",G117="Paid"),"Committed",IF(G117="Quoted","Pending",IF(G117="Rejected","Excluded","Check status"))))</f>
        <v/>
      </c>
    </row>
    <row r="118">
      <c r="A118" s="14" t="n"/>
      <c r="B118" s="39" t="n"/>
      <c r="C118" s="14" t="n"/>
      <c r="D118" s="14" t="n"/>
      <c r="E118" s="14" t="n"/>
      <c r="F118" s="16" t="n"/>
      <c r="G118" s="14" t="n"/>
      <c r="H118" s="14" t="n"/>
      <c r="I118" s="14" t="n"/>
      <c r="J118" s="11">
        <f>IF(AND(F118="",G118=""),"",IF(OR(G118="Agreed",G118="Signed",G118="Invoiced",G118="Paid"),"Committed",IF(G118="Quoted","Pending",IF(G118="Rejected","Excluded","Check status"))))</f>
        <v/>
      </c>
    </row>
    <row r="119">
      <c r="A119" s="14" t="n"/>
      <c r="B119" s="39" t="n"/>
      <c r="C119" s="14" t="n"/>
      <c r="D119" s="14" t="n"/>
      <c r="E119" s="14" t="n"/>
      <c r="F119" s="16" t="n"/>
      <c r="G119" s="14" t="n"/>
      <c r="H119" s="14" t="n"/>
      <c r="I119" s="14" t="n"/>
      <c r="J119" s="11">
        <f>IF(AND(F119="",G119=""),"",IF(OR(G119="Agreed",G119="Signed",G119="Invoiced",G119="Paid"),"Committed",IF(G119="Quoted","Pending",IF(G119="Rejected","Excluded","Check status"))))</f>
        <v/>
      </c>
    </row>
    <row r="120">
      <c r="A120" s="14" t="n"/>
      <c r="B120" s="39" t="n"/>
      <c r="C120" s="14" t="n"/>
      <c r="D120" s="14" t="n"/>
      <c r="E120" s="14" t="n"/>
      <c r="F120" s="16" t="n"/>
      <c r="G120" s="14" t="n"/>
      <c r="H120" s="14" t="n"/>
      <c r="I120" s="14" t="n"/>
      <c r="J120" s="11">
        <f>IF(AND(F120="",G120=""),"",IF(OR(G120="Agreed",G120="Signed",G120="Invoiced",G120="Paid"),"Committed",IF(G120="Quoted","Pending",IF(G120="Rejected","Excluded","Check status"))))</f>
        <v/>
      </c>
    </row>
    <row r="121">
      <c r="A121" s="14" t="n"/>
      <c r="B121" s="39" t="n"/>
      <c r="C121" s="14" t="n"/>
      <c r="D121" s="14" t="n"/>
      <c r="E121" s="14" t="n"/>
      <c r="F121" s="16" t="n"/>
      <c r="G121" s="14" t="n"/>
      <c r="H121" s="14" t="n"/>
      <c r="I121" s="14" t="n"/>
      <c r="J121" s="11">
        <f>IF(AND(F121="",G121=""),"",IF(OR(G121="Agreed",G121="Signed",G121="Invoiced",G121="Paid"),"Committed",IF(G121="Quoted","Pending",IF(G121="Rejected","Excluded","Check status"))))</f>
        <v/>
      </c>
    </row>
    <row r="122">
      <c r="A122" s="14" t="n"/>
      <c r="B122" s="39" t="n"/>
      <c r="C122" s="14" t="n"/>
      <c r="D122" s="14" t="n"/>
      <c r="E122" s="14" t="n"/>
      <c r="F122" s="16" t="n"/>
      <c r="G122" s="14" t="n"/>
      <c r="H122" s="14" t="n"/>
      <c r="I122" s="14" t="n"/>
      <c r="J122" s="11">
        <f>IF(AND(F122="",G122=""),"",IF(OR(G122="Agreed",G122="Signed",G122="Invoiced",G122="Paid"),"Committed",IF(G122="Quoted","Pending",IF(G122="Rejected","Excluded","Check status"))))</f>
        <v/>
      </c>
    </row>
    <row r="123">
      <c r="A123" s="14" t="n"/>
      <c r="B123" s="39" t="n"/>
      <c r="C123" s="14" t="n"/>
      <c r="D123" s="14" t="n"/>
      <c r="E123" s="14" t="n"/>
      <c r="F123" s="16" t="n"/>
      <c r="G123" s="14" t="n"/>
      <c r="H123" s="14" t="n"/>
      <c r="I123" s="14" t="n"/>
      <c r="J123" s="11">
        <f>IF(AND(F123="",G123=""),"",IF(OR(G123="Agreed",G123="Signed",G123="Invoiced",G123="Paid"),"Committed",IF(G123="Quoted","Pending",IF(G123="Rejected","Excluded","Check status"))))</f>
        <v/>
      </c>
    </row>
    <row r="124">
      <c r="A124" s="14" t="n"/>
      <c r="B124" s="39" t="n"/>
      <c r="C124" s="14" t="n"/>
      <c r="D124" s="14" t="n"/>
      <c r="E124" s="14" t="n"/>
      <c r="F124" s="16" t="n"/>
      <c r="G124" s="14" t="n"/>
      <c r="H124" s="14" t="n"/>
      <c r="I124" s="14" t="n"/>
      <c r="J124" s="11">
        <f>IF(AND(F124="",G124=""),"",IF(OR(G124="Agreed",G124="Signed",G124="Invoiced",G124="Paid"),"Committed",IF(G124="Quoted","Pending",IF(G124="Rejected","Excluded","Check status"))))</f>
        <v/>
      </c>
    </row>
    <row r="125">
      <c r="A125" s="14" t="n"/>
      <c r="B125" s="39" t="n"/>
      <c r="C125" s="14" t="n"/>
      <c r="D125" s="14" t="n"/>
      <c r="E125" s="14" t="n"/>
      <c r="F125" s="16" t="n"/>
      <c r="G125" s="14" t="n"/>
      <c r="H125" s="14" t="n"/>
      <c r="I125" s="14" t="n"/>
      <c r="J125" s="11">
        <f>IF(AND(F125="",G125=""),"",IF(OR(G125="Agreed",G125="Signed",G125="Invoiced",G125="Paid"),"Committed",IF(G125="Quoted","Pending",IF(G125="Rejected","Excluded","Check status"))))</f>
        <v/>
      </c>
    </row>
    <row r="126">
      <c r="A126" s="14" t="n"/>
      <c r="B126" s="39" t="n"/>
      <c r="C126" s="14" t="n"/>
      <c r="D126" s="14" t="n"/>
      <c r="E126" s="14" t="n"/>
      <c r="F126" s="16" t="n"/>
      <c r="G126" s="14" t="n"/>
      <c r="H126" s="14" t="n"/>
      <c r="I126" s="14" t="n"/>
      <c r="J126" s="11">
        <f>IF(AND(F126="",G126=""),"",IF(OR(G126="Agreed",G126="Signed",G126="Invoiced",G126="Paid"),"Committed",IF(G126="Quoted","Pending",IF(G126="Rejected","Excluded","Check status"))))</f>
        <v/>
      </c>
    </row>
    <row r="127">
      <c r="A127" s="14" t="n"/>
      <c r="B127" s="39" t="n"/>
      <c r="C127" s="14" t="n"/>
      <c r="D127" s="14" t="n"/>
      <c r="E127" s="14" t="n"/>
      <c r="F127" s="16" t="n"/>
      <c r="G127" s="14" t="n"/>
      <c r="H127" s="14" t="n"/>
      <c r="I127" s="14" t="n"/>
      <c r="J127" s="11">
        <f>IF(AND(F127="",G127=""),"",IF(OR(G127="Agreed",G127="Signed",G127="Invoiced",G127="Paid"),"Committed",IF(G127="Quoted","Pending",IF(G127="Rejected","Excluded","Check status"))))</f>
        <v/>
      </c>
    </row>
    <row r="128">
      <c r="A128" s="14" t="n"/>
      <c r="B128" s="39" t="n"/>
      <c r="C128" s="14" t="n"/>
      <c r="D128" s="14" t="n"/>
      <c r="E128" s="14" t="n"/>
      <c r="F128" s="16" t="n"/>
      <c r="G128" s="14" t="n"/>
      <c r="H128" s="14" t="n"/>
      <c r="I128" s="14" t="n"/>
      <c r="J128" s="11">
        <f>IF(AND(F128="",G128=""),"",IF(OR(G128="Agreed",G128="Signed",G128="Invoiced",G128="Paid"),"Committed",IF(G128="Quoted","Pending",IF(G128="Rejected","Excluded","Check status"))))</f>
        <v/>
      </c>
    </row>
    <row r="129">
      <c r="A129" s="14" t="n"/>
      <c r="B129" s="39" t="n"/>
      <c r="C129" s="14" t="n"/>
      <c r="D129" s="14" t="n"/>
      <c r="E129" s="14" t="n"/>
      <c r="F129" s="16" t="n"/>
      <c r="G129" s="14" t="n"/>
      <c r="H129" s="14" t="n"/>
      <c r="I129" s="14" t="n"/>
      <c r="J129" s="11">
        <f>IF(AND(F129="",G129=""),"",IF(OR(G129="Agreed",G129="Signed",G129="Invoiced",G129="Paid"),"Committed",IF(G129="Quoted","Pending",IF(G129="Rejected","Excluded","Check status"))))</f>
        <v/>
      </c>
    </row>
    <row r="130">
      <c r="A130" s="14" t="n"/>
      <c r="B130" s="39" t="n"/>
      <c r="C130" s="14" t="n"/>
      <c r="D130" s="14" t="n"/>
      <c r="E130" s="14" t="n"/>
      <c r="F130" s="16" t="n"/>
      <c r="G130" s="14" t="n"/>
      <c r="H130" s="14" t="n"/>
      <c r="I130" s="14" t="n"/>
      <c r="J130" s="11">
        <f>IF(AND(F130="",G130=""),"",IF(OR(G130="Agreed",G130="Signed",G130="Invoiced",G130="Paid"),"Committed",IF(G130="Quoted","Pending",IF(G130="Rejected","Excluded","Check status"))))</f>
        <v/>
      </c>
    </row>
    <row r="131">
      <c r="A131" s="14" t="n"/>
      <c r="B131" s="39" t="n"/>
      <c r="C131" s="14" t="n"/>
      <c r="D131" s="14" t="n"/>
      <c r="E131" s="14" t="n"/>
      <c r="F131" s="16" t="n"/>
      <c r="G131" s="14" t="n"/>
      <c r="H131" s="14" t="n"/>
      <c r="I131" s="14" t="n"/>
      <c r="J131" s="11">
        <f>IF(AND(F131="",G131=""),"",IF(OR(G131="Agreed",G131="Signed",G131="Invoiced",G131="Paid"),"Committed",IF(G131="Quoted","Pending",IF(G131="Rejected","Excluded","Check status"))))</f>
        <v/>
      </c>
    </row>
    <row r="132">
      <c r="A132" s="14" t="n"/>
      <c r="B132" s="39" t="n"/>
      <c r="C132" s="14" t="n"/>
      <c r="D132" s="14" t="n"/>
      <c r="E132" s="14" t="n"/>
      <c r="F132" s="16" t="n"/>
      <c r="G132" s="14" t="n"/>
      <c r="H132" s="14" t="n"/>
      <c r="I132" s="14" t="n"/>
      <c r="J132" s="11">
        <f>IF(AND(F132="",G132=""),"",IF(OR(G132="Agreed",G132="Signed",G132="Invoiced",G132="Paid"),"Committed",IF(G132="Quoted","Pending",IF(G132="Rejected","Excluded","Check status"))))</f>
        <v/>
      </c>
    </row>
    <row r="133">
      <c r="A133" s="14" t="n"/>
      <c r="B133" s="39" t="n"/>
      <c r="C133" s="14" t="n"/>
      <c r="D133" s="14" t="n"/>
      <c r="E133" s="14" t="n"/>
      <c r="F133" s="16" t="n"/>
      <c r="G133" s="14" t="n"/>
      <c r="H133" s="14" t="n"/>
      <c r="I133" s="14" t="n"/>
      <c r="J133" s="11">
        <f>IF(AND(F133="",G133=""),"",IF(OR(G133="Agreed",G133="Signed",G133="Invoiced",G133="Paid"),"Committed",IF(G133="Quoted","Pending",IF(G133="Rejected","Excluded","Check status"))))</f>
        <v/>
      </c>
    </row>
    <row r="134">
      <c r="A134" s="14" t="n"/>
      <c r="B134" s="39" t="n"/>
      <c r="C134" s="14" t="n"/>
      <c r="D134" s="14" t="n"/>
      <c r="E134" s="14" t="n"/>
      <c r="F134" s="16" t="n"/>
      <c r="G134" s="14" t="n"/>
      <c r="H134" s="14" t="n"/>
      <c r="I134" s="14" t="n"/>
      <c r="J134" s="11">
        <f>IF(AND(F134="",G134=""),"",IF(OR(G134="Agreed",G134="Signed",G134="Invoiced",G134="Paid"),"Committed",IF(G134="Quoted","Pending",IF(G134="Rejected","Excluded","Check status"))))</f>
        <v/>
      </c>
    </row>
    <row r="135">
      <c r="A135" s="14" t="n"/>
      <c r="B135" s="39" t="n"/>
      <c r="C135" s="14" t="n"/>
      <c r="D135" s="14" t="n"/>
      <c r="E135" s="14" t="n"/>
      <c r="F135" s="16" t="n"/>
      <c r="G135" s="14" t="n"/>
      <c r="H135" s="14" t="n"/>
      <c r="I135" s="14" t="n"/>
      <c r="J135" s="11">
        <f>IF(AND(F135="",G135=""),"",IF(OR(G135="Agreed",G135="Signed",G135="Invoiced",G135="Paid"),"Committed",IF(G135="Quoted","Pending",IF(G135="Rejected","Excluded","Check status"))))</f>
        <v/>
      </c>
    </row>
    <row r="136">
      <c r="A136" s="14" t="n"/>
      <c r="B136" s="39" t="n"/>
      <c r="C136" s="14" t="n"/>
      <c r="D136" s="14" t="n"/>
      <c r="E136" s="14" t="n"/>
      <c r="F136" s="16" t="n"/>
      <c r="G136" s="14" t="n"/>
      <c r="H136" s="14" t="n"/>
      <c r="I136" s="14" t="n"/>
      <c r="J136" s="11">
        <f>IF(AND(F136="",G136=""),"",IF(OR(G136="Agreed",G136="Signed",G136="Invoiced",G136="Paid"),"Committed",IF(G136="Quoted","Pending",IF(G136="Rejected","Excluded","Check status"))))</f>
        <v/>
      </c>
    </row>
    <row r="137">
      <c r="A137" s="14" t="n"/>
      <c r="B137" s="39" t="n"/>
      <c r="C137" s="14" t="n"/>
      <c r="D137" s="14" t="n"/>
      <c r="E137" s="14" t="n"/>
      <c r="F137" s="16" t="n"/>
      <c r="G137" s="14" t="n"/>
      <c r="H137" s="14" t="n"/>
      <c r="I137" s="14" t="n"/>
      <c r="J137" s="11">
        <f>IF(AND(F137="",G137=""),"",IF(OR(G137="Agreed",G137="Signed",G137="Invoiced",G137="Paid"),"Committed",IF(G137="Quoted","Pending",IF(G137="Rejected","Excluded","Check status"))))</f>
        <v/>
      </c>
    </row>
    <row r="138">
      <c r="A138" s="14" t="n"/>
      <c r="B138" s="39" t="n"/>
      <c r="C138" s="14" t="n"/>
      <c r="D138" s="14" t="n"/>
      <c r="E138" s="14" t="n"/>
      <c r="F138" s="16" t="n"/>
      <c r="G138" s="14" t="n"/>
      <c r="H138" s="14" t="n"/>
      <c r="I138" s="14" t="n"/>
      <c r="J138" s="11">
        <f>IF(AND(F138="",G138=""),"",IF(OR(G138="Agreed",G138="Signed",G138="Invoiced",G138="Paid"),"Committed",IF(G138="Quoted","Pending",IF(G138="Rejected","Excluded","Check status"))))</f>
        <v/>
      </c>
    </row>
    <row r="139">
      <c r="A139" s="14" t="n"/>
      <c r="B139" s="39" t="n"/>
      <c r="C139" s="14" t="n"/>
      <c r="D139" s="14" t="n"/>
      <c r="E139" s="14" t="n"/>
      <c r="F139" s="16" t="n"/>
      <c r="G139" s="14" t="n"/>
      <c r="H139" s="14" t="n"/>
      <c r="I139" s="14" t="n"/>
      <c r="J139" s="11">
        <f>IF(AND(F139="",G139=""),"",IF(OR(G139="Agreed",G139="Signed",G139="Invoiced",G139="Paid"),"Committed",IF(G139="Quoted","Pending",IF(G139="Rejected","Excluded","Check status"))))</f>
        <v/>
      </c>
    </row>
    <row r="140">
      <c r="A140" s="14" t="n"/>
      <c r="B140" s="39" t="n"/>
      <c r="C140" s="14" t="n"/>
      <c r="D140" s="14" t="n"/>
      <c r="E140" s="14" t="n"/>
      <c r="F140" s="16" t="n"/>
      <c r="G140" s="14" t="n"/>
      <c r="H140" s="14" t="n"/>
      <c r="I140" s="14" t="n"/>
      <c r="J140" s="11">
        <f>IF(AND(F140="",G140=""),"",IF(OR(G140="Agreed",G140="Signed",G140="Invoiced",G140="Paid"),"Committed",IF(G140="Quoted","Pending",IF(G140="Rejected","Excluded","Check status"))))</f>
        <v/>
      </c>
    </row>
    <row r="141">
      <c r="A141" s="14" t="n"/>
      <c r="B141" s="39" t="n"/>
      <c r="C141" s="14" t="n"/>
      <c r="D141" s="14" t="n"/>
      <c r="E141" s="14" t="n"/>
      <c r="F141" s="16" t="n"/>
      <c r="G141" s="14" t="n"/>
      <c r="H141" s="14" t="n"/>
      <c r="I141" s="14" t="n"/>
      <c r="J141" s="11">
        <f>IF(AND(F141="",G141=""),"",IF(OR(G141="Agreed",G141="Signed",G141="Invoiced",G141="Paid"),"Committed",IF(G141="Quoted","Pending",IF(G141="Rejected","Excluded","Check status"))))</f>
        <v/>
      </c>
    </row>
    <row r="142">
      <c r="A142" s="14" t="n"/>
      <c r="B142" s="39" t="n"/>
      <c r="C142" s="14" t="n"/>
      <c r="D142" s="14" t="n"/>
      <c r="E142" s="14" t="n"/>
      <c r="F142" s="16" t="n"/>
      <c r="G142" s="14" t="n"/>
      <c r="H142" s="14" t="n"/>
      <c r="I142" s="14" t="n"/>
      <c r="J142" s="11">
        <f>IF(AND(F142="",G142=""),"",IF(OR(G142="Agreed",G142="Signed",G142="Invoiced",G142="Paid"),"Committed",IF(G142="Quoted","Pending",IF(G142="Rejected","Excluded","Check status"))))</f>
        <v/>
      </c>
    </row>
    <row r="143">
      <c r="A143" s="14" t="n"/>
      <c r="B143" s="39" t="n"/>
      <c r="C143" s="14" t="n"/>
      <c r="D143" s="14" t="n"/>
      <c r="E143" s="14" t="n"/>
      <c r="F143" s="16" t="n"/>
      <c r="G143" s="14" t="n"/>
      <c r="H143" s="14" t="n"/>
      <c r="I143" s="14" t="n"/>
      <c r="J143" s="11">
        <f>IF(AND(F143="",G143=""),"",IF(OR(G143="Agreed",G143="Signed",G143="Invoiced",G143="Paid"),"Committed",IF(G143="Quoted","Pending",IF(G143="Rejected","Excluded","Check status"))))</f>
        <v/>
      </c>
    </row>
    <row r="144">
      <c r="A144" s="14" t="n"/>
      <c r="B144" s="39" t="n"/>
      <c r="C144" s="14" t="n"/>
      <c r="D144" s="14" t="n"/>
      <c r="E144" s="14" t="n"/>
      <c r="F144" s="16" t="n"/>
      <c r="G144" s="14" t="n"/>
      <c r="H144" s="14" t="n"/>
      <c r="I144" s="14" t="n"/>
      <c r="J144" s="11">
        <f>IF(AND(F144="",G144=""),"",IF(OR(G144="Agreed",G144="Signed",G144="Invoiced",G144="Paid"),"Committed",IF(G144="Quoted","Pending",IF(G144="Rejected","Excluded","Check status"))))</f>
        <v/>
      </c>
    </row>
    <row r="145">
      <c r="A145" s="14" t="n"/>
      <c r="B145" s="39" t="n"/>
      <c r="C145" s="14" t="n"/>
      <c r="D145" s="14" t="n"/>
      <c r="E145" s="14" t="n"/>
      <c r="F145" s="16" t="n"/>
      <c r="G145" s="14" t="n"/>
      <c r="H145" s="14" t="n"/>
      <c r="I145" s="14" t="n"/>
      <c r="J145" s="11">
        <f>IF(AND(F145="",G145=""),"",IF(OR(G145="Agreed",G145="Signed",G145="Invoiced",G145="Paid"),"Committed",IF(G145="Quoted","Pending",IF(G145="Rejected","Excluded","Check status"))))</f>
        <v/>
      </c>
    </row>
    <row r="146">
      <c r="A146" s="14" t="n"/>
      <c r="B146" s="39" t="n"/>
      <c r="C146" s="14" t="n"/>
      <c r="D146" s="14" t="n"/>
      <c r="E146" s="14" t="n"/>
      <c r="F146" s="16" t="n"/>
      <c r="G146" s="14" t="n"/>
      <c r="H146" s="14" t="n"/>
      <c r="I146" s="14" t="n"/>
      <c r="J146" s="11">
        <f>IF(AND(F146="",G146=""),"",IF(OR(G146="Agreed",G146="Signed",G146="Invoiced",G146="Paid"),"Committed",IF(G146="Quoted","Pending",IF(G146="Rejected","Excluded","Check status"))))</f>
        <v/>
      </c>
    </row>
    <row r="147">
      <c r="A147" s="14" t="n"/>
      <c r="B147" s="39" t="n"/>
      <c r="C147" s="14" t="n"/>
      <c r="D147" s="14" t="n"/>
      <c r="E147" s="14" t="n"/>
      <c r="F147" s="16" t="n"/>
      <c r="G147" s="14" t="n"/>
      <c r="H147" s="14" t="n"/>
      <c r="I147" s="14" t="n"/>
      <c r="J147" s="11">
        <f>IF(AND(F147="",G147=""),"",IF(OR(G147="Agreed",G147="Signed",G147="Invoiced",G147="Paid"),"Committed",IF(G147="Quoted","Pending",IF(G147="Rejected","Excluded","Check status"))))</f>
        <v/>
      </c>
    </row>
    <row r="148">
      <c r="A148" s="14" t="n"/>
      <c r="B148" s="39" t="n"/>
      <c r="C148" s="14" t="n"/>
      <c r="D148" s="14" t="n"/>
      <c r="E148" s="14" t="n"/>
      <c r="F148" s="16" t="n"/>
      <c r="G148" s="14" t="n"/>
      <c r="H148" s="14" t="n"/>
      <c r="I148" s="14" t="n"/>
      <c r="J148" s="11">
        <f>IF(AND(F148="",G148=""),"",IF(OR(G148="Agreed",G148="Signed",G148="Invoiced",G148="Paid"),"Committed",IF(G148="Quoted","Pending",IF(G148="Rejected","Excluded","Check status"))))</f>
        <v/>
      </c>
    </row>
    <row r="149">
      <c r="A149" s="14" t="n"/>
      <c r="B149" s="39" t="n"/>
      <c r="C149" s="14" t="n"/>
      <c r="D149" s="14" t="n"/>
      <c r="E149" s="14" t="n"/>
      <c r="F149" s="16" t="n"/>
      <c r="G149" s="14" t="n"/>
      <c r="H149" s="14" t="n"/>
      <c r="I149" s="14" t="n"/>
      <c r="J149" s="11">
        <f>IF(AND(F149="",G149=""),"",IF(OR(G149="Agreed",G149="Signed",G149="Invoiced",G149="Paid"),"Committed",IF(G149="Quoted","Pending",IF(G149="Rejected","Excluded","Check status"))))</f>
        <v/>
      </c>
    </row>
    <row r="150">
      <c r="A150" s="14" t="n"/>
      <c r="B150" s="39" t="n"/>
      <c r="C150" s="14" t="n"/>
      <c r="D150" s="14" t="n"/>
      <c r="E150" s="14" t="n"/>
      <c r="F150" s="16" t="n"/>
      <c r="G150" s="14" t="n"/>
      <c r="H150" s="14" t="n"/>
      <c r="I150" s="14" t="n"/>
      <c r="J150" s="11">
        <f>IF(AND(F150="",G150=""),"",IF(OR(G150="Agreed",G150="Signed",G150="Invoiced",G150="Paid"),"Committed",IF(G150="Quoted","Pending",IF(G150="Rejected","Excluded","Check status"))))</f>
        <v/>
      </c>
    </row>
    <row r="151">
      <c r="A151" s="14" t="n"/>
      <c r="B151" s="39" t="n"/>
      <c r="C151" s="14" t="n"/>
      <c r="D151" s="14" t="n"/>
      <c r="E151" s="14" t="n"/>
      <c r="F151" s="16" t="n"/>
      <c r="G151" s="14" t="n"/>
      <c r="H151" s="14" t="n"/>
      <c r="I151" s="14" t="n"/>
      <c r="J151" s="11">
        <f>IF(AND(F151="",G151=""),"",IF(OR(G151="Agreed",G151="Signed",G151="Invoiced",G151="Paid"),"Committed",IF(G151="Quoted","Pending",IF(G151="Rejected","Excluded","Check status"))))</f>
        <v/>
      </c>
    </row>
    <row r="152">
      <c r="A152" s="14" t="n"/>
      <c r="B152" s="39" t="n"/>
      <c r="C152" s="14" t="n"/>
      <c r="D152" s="14" t="n"/>
      <c r="E152" s="14" t="n"/>
      <c r="F152" s="16" t="n"/>
      <c r="G152" s="14" t="n"/>
      <c r="H152" s="14" t="n"/>
      <c r="I152" s="14" t="n"/>
      <c r="J152" s="11">
        <f>IF(AND(F152="",G152=""),"",IF(OR(G152="Agreed",G152="Signed",G152="Invoiced",G152="Paid"),"Committed",IF(G152="Quoted","Pending",IF(G152="Rejected","Excluded","Check status"))))</f>
        <v/>
      </c>
    </row>
    <row r="153">
      <c r="A153" s="14" t="n"/>
      <c r="B153" s="39" t="n"/>
      <c r="C153" s="14" t="n"/>
      <c r="D153" s="14" t="n"/>
      <c r="E153" s="14" t="n"/>
      <c r="F153" s="16" t="n"/>
      <c r="G153" s="14" t="n"/>
      <c r="H153" s="14" t="n"/>
      <c r="I153" s="14" t="n"/>
      <c r="J153" s="11">
        <f>IF(AND(F153="",G153=""),"",IF(OR(G153="Agreed",G153="Signed",G153="Invoiced",G153="Paid"),"Committed",IF(G153="Quoted","Pending",IF(G153="Rejected","Excluded","Check status"))))</f>
        <v/>
      </c>
    </row>
    <row r="154">
      <c r="A154" s="14" t="n"/>
      <c r="B154" s="39" t="n"/>
      <c r="C154" s="14" t="n"/>
      <c r="D154" s="14" t="n"/>
      <c r="E154" s="14" t="n"/>
      <c r="F154" s="16" t="n"/>
      <c r="G154" s="14" t="n"/>
      <c r="H154" s="14" t="n"/>
      <c r="I154" s="14" t="n"/>
      <c r="J154" s="11">
        <f>IF(AND(F154="",G154=""),"",IF(OR(G154="Agreed",G154="Signed",G154="Invoiced",G154="Paid"),"Committed",IF(G154="Quoted","Pending",IF(G154="Rejected","Excluded","Check status"))))</f>
        <v/>
      </c>
    </row>
    <row r="155">
      <c r="A155" s="14" t="n"/>
      <c r="B155" s="39" t="n"/>
      <c r="C155" s="14" t="n"/>
      <c r="D155" s="14" t="n"/>
      <c r="E155" s="14" t="n"/>
      <c r="F155" s="16" t="n"/>
      <c r="G155" s="14" t="n"/>
      <c r="H155" s="14" t="n"/>
      <c r="I155" s="14" t="n"/>
      <c r="J155" s="11">
        <f>IF(AND(F155="",G155=""),"",IF(OR(G155="Agreed",G155="Signed",G155="Invoiced",G155="Paid"),"Committed",IF(G155="Quoted","Pending",IF(G155="Rejected","Excluded","Check status"))))</f>
        <v/>
      </c>
    </row>
    <row r="156">
      <c r="A156" s="14" t="n"/>
      <c r="B156" s="39" t="n"/>
      <c r="C156" s="14" t="n"/>
      <c r="D156" s="14" t="n"/>
      <c r="E156" s="14" t="n"/>
      <c r="F156" s="16" t="n"/>
      <c r="G156" s="14" t="n"/>
      <c r="H156" s="14" t="n"/>
      <c r="I156" s="14" t="n"/>
      <c r="J156" s="11">
        <f>IF(AND(F156="",G156=""),"",IF(OR(G156="Agreed",G156="Signed",G156="Invoiced",G156="Paid"),"Committed",IF(G156="Quoted","Pending",IF(G156="Rejected","Excluded","Check status"))))</f>
        <v/>
      </c>
    </row>
    <row r="157">
      <c r="A157" s="14" t="n"/>
      <c r="B157" s="39" t="n"/>
      <c r="C157" s="14" t="n"/>
      <c r="D157" s="14" t="n"/>
      <c r="E157" s="14" t="n"/>
      <c r="F157" s="16" t="n"/>
      <c r="G157" s="14" t="n"/>
      <c r="H157" s="14" t="n"/>
      <c r="I157" s="14" t="n"/>
      <c r="J157" s="11">
        <f>IF(AND(F157="",G157=""),"",IF(OR(G157="Agreed",G157="Signed",G157="Invoiced",G157="Paid"),"Committed",IF(G157="Quoted","Pending",IF(G157="Rejected","Excluded","Check status"))))</f>
        <v/>
      </c>
    </row>
    <row r="158">
      <c r="A158" s="14" t="n"/>
      <c r="B158" s="39" t="n"/>
      <c r="C158" s="14" t="n"/>
      <c r="D158" s="14" t="n"/>
      <c r="E158" s="14" t="n"/>
      <c r="F158" s="16" t="n"/>
      <c r="G158" s="14" t="n"/>
      <c r="H158" s="14" t="n"/>
      <c r="I158" s="14" t="n"/>
      <c r="J158" s="11">
        <f>IF(AND(F158="",G158=""),"",IF(OR(G158="Agreed",G158="Signed",G158="Invoiced",G158="Paid"),"Committed",IF(G158="Quoted","Pending",IF(G158="Rejected","Excluded","Check status"))))</f>
        <v/>
      </c>
    </row>
    <row r="159">
      <c r="A159" s="14" t="n"/>
      <c r="B159" s="39" t="n"/>
      <c r="C159" s="14" t="n"/>
      <c r="D159" s="14" t="n"/>
      <c r="E159" s="14" t="n"/>
      <c r="F159" s="16" t="n"/>
      <c r="G159" s="14" t="n"/>
      <c r="H159" s="14" t="n"/>
      <c r="I159" s="14" t="n"/>
      <c r="J159" s="11">
        <f>IF(AND(F159="",G159=""),"",IF(OR(G159="Agreed",G159="Signed",G159="Invoiced",G159="Paid"),"Committed",IF(G159="Quoted","Pending",IF(G159="Rejected","Excluded","Check status"))))</f>
        <v/>
      </c>
    </row>
    <row r="160">
      <c r="A160" s="14" t="n"/>
      <c r="B160" s="39" t="n"/>
      <c r="C160" s="14" t="n"/>
      <c r="D160" s="14" t="n"/>
      <c r="E160" s="14" t="n"/>
      <c r="F160" s="16" t="n"/>
      <c r="G160" s="14" t="n"/>
      <c r="H160" s="14" t="n"/>
      <c r="I160" s="14" t="n"/>
      <c r="J160" s="11">
        <f>IF(AND(F160="",G160=""),"",IF(OR(G160="Agreed",G160="Signed",G160="Invoiced",G160="Paid"),"Committed",IF(G160="Quoted","Pending",IF(G160="Rejected","Excluded","Check status"))))</f>
        <v/>
      </c>
    </row>
    <row r="161">
      <c r="A161" s="14" t="n"/>
      <c r="B161" s="39" t="n"/>
      <c r="C161" s="14" t="n"/>
      <c r="D161" s="14" t="n"/>
      <c r="E161" s="14" t="n"/>
      <c r="F161" s="16" t="n"/>
      <c r="G161" s="14" t="n"/>
      <c r="H161" s="14" t="n"/>
      <c r="I161" s="14" t="n"/>
      <c r="J161" s="11">
        <f>IF(AND(F161="",G161=""),"",IF(OR(G161="Agreed",G161="Signed",G161="Invoiced",G161="Paid"),"Committed",IF(G161="Quoted","Pending",IF(G161="Rejected","Excluded","Check status"))))</f>
        <v/>
      </c>
    </row>
    <row r="162">
      <c r="A162" s="14" t="n"/>
      <c r="B162" s="39" t="n"/>
      <c r="C162" s="14" t="n"/>
      <c r="D162" s="14" t="n"/>
      <c r="E162" s="14" t="n"/>
      <c r="F162" s="16" t="n"/>
      <c r="G162" s="14" t="n"/>
      <c r="H162" s="14" t="n"/>
      <c r="I162" s="14" t="n"/>
      <c r="J162" s="11">
        <f>IF(AND(F162="",G162=""),"",IF(OR(G162="Agreed",G162="Signed",G162="Invoiced",G162="Paid"),"Committed",IF(G162="Quoted","Pending",IF(G162="Rejected","Excluded","Check status"))))</f>
        <v/>
      </c>
    </row>
    <row r="163">
      <c r="A163" s="14" t="n"/>
      <c r="B163" s="39" t="n"/>
      <c r="C163" s="14" t="n"/>
      <c r="D163" s="14" t="n"/>
      <c r="E163" s="14" t="n"/>
      <c r="F163" s="16" t="n"/>
      <c r="G163" s="14" t="n"/>
      <c r="H163" s="14" t="n"/>
      <c r="I163" s="14" t="n"/>
      <c r="J163" s="11">
        <f>IF(AND(F163="",G163=""),"",IF(OR(G163="Agreed",G163="Signed",G163="Invoiced",G163="Paid"),"Committed",IF(G163="Quoted","Pending",IF(G163="Rejected","Excluded","Check status"))))</f>
        <v/>
      </c>
    </row>
    <row r="164">
      <c r="A164" s="14" t="n"/>
      <c r="B164" s="39" t="n"/>
      <c r="C164" s="14" t="n"/>
      <c r="D164" s="14" t="n"/>
      <c r="E164" s="14" t="n"/>
      <c r="F164" s="16" t="n"/>
      <c r="G164" s="14" t="n"/>
      <c r="H164" s="14" t="n"/>
      <c r="I164" s="14" t="n"/>
      <c r="J164" s="11">
        <f>IF(AND(F164="",G164=""),"",IF(OR(G164="Agreed",G164="Signed",G164="Invoiced",G164="Paid"),"Committed",IF(G164="Quoted","Pending",IF(G164="Rejected","Excluded","Check status"))))</f>
        <v/>
      </c>
    </row>
    <row r="165">
      <c r="A165" s="14" t="n"/>
      <c r="B165" s="39" t="n"/>
      <c r="C165" s="14" t="n"/>
      <c r="D165" s="14" t="n"/>
      <c r="E165" s="14" t="n"/>
      <c r="F165" s="16" t="n"/>
      <c r="G165" s="14" t="n"/>
      <c r="H165" s="14" t="n"/>
      <c r="I165" s="14" t="n"/>
      <c r="J165" s="11">
        <f>IF(AND(F165="",G165=""),"",IF(OR(G165="Agreed",G165="Signed",G165="Invoiced",G165="Paid"),"Committed",IF(G165="Quoted","Pending",IF(G165="Rejected","Excluded","Check status"))))</f>
        <v/>
      </c>
    </row>
    <row r="166">
      <c r="A166" s="14" t="n"/>
      <c r="B166" s="39" t="n"/>
      <c r="C166" s="14" t="n"/>
      <c r="D166" s="14" t="n"/>
      <c r="E166" s="14" t="n"/>
      <c r="F166" s="16" t="n"/>
      <c r="G166" s="14" t="n"/>
      <c r="H166" s="14" t="n"/>
      <c r="I166" s="14" t="n"/>
      <c r="J166" s="11">
        <f>IF(AND(F166="",G166=""),"",IF(OR(G166="Agreed",G166="Signed",G166="Invoiced",G166="Paid"),"Committed",IF(G166="Quoted","Pending",IF(G166="Rejected","Excluded","Check status"))))</f>
        <v/>
      </c>
    </row>
    <row r="167">
      <c r="A167" s="14" t="n"/>
      <c r="B167" s="39" t="n"/>
      <c r="C167" s="14" t="n"/>
      <c r="D167" s="14" t="n"/>
      <c r="E167" s="14" t="n"/>
      <c r="F167" s="16" t="n"/>
      <c r="G167" s="14" t="n"/>
      <c r="H167" s="14" t="n"/>
      <c r="I167" s="14" t="n"/>
      <c r="J167" s="11">
        <f>IF(AND(F167="",G167=""),"",IF(OR(G167="Agreed",G167="Signed",G167="Invoiced",G167="Paid"),"Committed",IF(G167="Quoted","Pending",IF(G167="Rejected","Excluded","Check status"))))</f>
        <v/>
      </c>
    </row>
    <row r="168">
      <c r="A168" s="14" t="n"/>
      <c r="B168" s="39" t="n"/>
      <c r="C168" s="14" t="n"/>
      <c r="D168" s="14" t="n"/>
      <c r="E168" s="14" t="n"/>
      <c r="F168" s="16" t="n"/>
      <c r="G168" s="14" t="n"/>
      <c r="H168" s="14" t="n"/>
      <c r="I168" s="14" t="n"/>
      <c r="J168" s="11">
        <f>IF(AND(F168="",G168=""),"",IF(OR(G168="Agreed",G168="Signed",G168="Invoiced",G168="Paid"),"Committed",IF(G168="Quoted","Pending",IF(G168="Rejected","Excluded","Check status"))))</f>
        <v/>
      </c>
    </row>
    <row r="169">
      <c r="A169" s="14" t="n"/>
      <c r="B169" s="39" t="n"/>
      <c r="C169" s="14" t="n"/>
      <c r="D169" s="14" t="n"/>
      <c r="E169" s="14" t="n"/>
      <c r="F169" s="16" t="n"/>
      <c r="G169" s="14" t="n"/>
      <c r="H169" s="14" t="n"/>
      <c r="I169" s="14" t="n"/>
      <c r="J169" s="11">
        <f>IF(AND(F169="",G169=""),"",IF(OR(G169="Agreed",G169="Signed",G169="Invoiced",G169="Paid"),"Committed",IF(G169="Quoted","Pending",IF(G169="Rejected","Excluded","Check status"))))</f>
        <v/>
      </c>
    </row>
    <row r="170">
      <c r="A170" s="14" t="n"/>
      <c r="B170" s="39" t="n"/>
      <c r="C170" s="14" t="n"/>
      <c r="D170" s="14" t="n"/>
      <c r="E170" s="14" t="n"/>
      <c r="F170" s="16" t="n"/>
      <c r="G170" s="14" t="n"/>
      <c r="H170" s="14" t="n"/>
      <c r="I170" s="14" t="n"/>
      <c r="J170" s="11">
        <f>IF(AND(F170="",G170=""),"",IF(OR(G170="Agreed",G170="Signed",G170="Invoiced",G170="Paid"),"Committed",IF(G170="Quoted","Pending",IF(G170="Rejected","Excluded","Check status"))))</f>
        <v/>
      </c>
    </row>
    <row r="171">
      <c r="A171" s="14" t="n"/>
      <c r="B171" s="39" t="n"/>
      <c r="C171" s="14" t="n"/>
      <c r="D171" s="14" t="n"/>
      <c r="E171" s="14" t="n"/>
      <c r="F171" s="16" t="n"/>
      <c r="G171" s="14" t="n"/>
      <c r="H171" s="14" t="n"/>
      <c r="I171" s="14" t="n"/>
      <c r="J171" s="11">
        <f>IF(AND(F171="",G171=""),"",IF(OR(G171="Agreed",G171="Signed",G171="Invoiced",G171="Paid"),"Committed",IF(G171="Quoted","Pending",IF(G171="Rejected","Excluded","Check status"))))</f>
        <v/>
      </c>
    </row>
    <row r="172">
      <c r="A172" s="14" t="n"/>
      <c r="B172" s="39" t="n"/>
      <c r="C172" s="14" t="n"/>
      <c r="D172" s="14" t="n"/>
      <c r="E172" s="14" t="n"/>
      <c r="F172" s="16" t="n"/>
      <c r="G172" s="14" t="n"/>
      <c r="H172" s="14" t="n"/>
      <c r="I172" s="14" t="n"/>
      <c r="J172" s="11">
        <f>IF(AND(F172="",G172=""),"",IF(OR(G172="Agreed",G172="Signed",G172="Invoiced",G172="Paid"),"Committed",IF(G172="Quoted","Pending",IF(G172="Rejected","Excluded","Check status"))))</f>
        <v/>
      </c>
    </row>
    <row r="173">
      <c r="A173" s="14" t="n"/>
      <c r="B173" s="39" t="n"/>
      <c r="C173" s="14" t="n"/>
      <c r="D173" s="14" t="n"/>
      <c r="E173" s="14" t="n"/>
      <c r="F173" s="16" t="n"/>
      <c r="G173" s="14" t="n"/>
      <c r="H173" s="14" t="n"/>
      <c r="I173" s="14" t="n"/>
      <c r="J173" s="11">
        <f>IF(AND(F173="",G173=""),"",IF(OR(G173="Agreed",G173="Signed",G173="Invoiced",G173="Paid"),"Committed",IF(G173="Quoted","Pending",IF(G173="Rejected","Excluded","Check status"))))</f>
        <v/>
      </c>
    </row>
    <row r="174">
      <c r="A174" s="14" t="n"/>
      <c r="B174" s="39" t="n"/>
      <c r="C174" s="14" t="n"/>
      <c r="D174" s="14" t="n"/>
      <c r="E174" s="14" t="n"/>
      <c r="F174" s="16" t="n"/>
      <c r="G174" s="14" t="n"/>
      <c r="H174" s="14" t="n"/>
      <c r="I174" s="14" t="n"/>
      <c r="J174" s="11">
        <f>IF(AND(F174="",G174=""),"",IF(OR(G174="Agreed",G174="Signed",G174="Invoiced",G174="Paid"),"Committed",IF(G174="Quoted","Pending",IF(G174="Rejected","Excluded","Check status"))))</f>
        <v/>
      </c>
    </row>
    <row r="175">
      <c r="A175" s="14" t="n"/>
      <c r="B175" s="39" t="n"/>
      <c r="C175" s="14" t="n"/>
      <c r="D175" s="14" t="n"/>
      <c r="E175" s="14" t="n"/>
      <c r="F175" s="16" t="n"/>
      <c r="G175" s="14" t="n"/>
      <c r="H175" s="14" t="n"/>
      <c r="I175" s="14" t="n"/>
      <c r="J175" s="11">
        <f>IF(AND(F175="",G175=""),"",IF(OR(G175="Agreed",G175="Signed",G175="Invoiced",G175="Paid"),"Committed",IF(G175="Quoted","Pending",IF(G175="Rejected","Excluded","Check status"))))</f>
        <v/>
      </c>
    </row>
    <row r="176">
      <c r="A176" s="14" t="n"/>
      <c r="B176" s="39" t="n"/>
      <c r="C176" s="14" t="n"/>
      <c r="D176" s="14" t="n"/>
      <c r="E176" s="14" t="n"/>
      <c r="F176" s="16" t="n"/>
      <c r="G176" s="14" t="n"/>
      <c r="H176" s="14" t="n"/>
      <c r="I176" s="14" t="n"/>
      <c r="J176" s="11">
        <f>IF(AND(F176="",G176=""),"",IF(OR(G176="Agreed",G176="Signed",G176="Invoiced",G176="Paid"),"Committed",IF(G176="Quoted","Pending",IF(G176="Rejected","Excluded","Check status"))))</f>
        <v/>
      </c>
    </row>
    <row r="177">
      <c r="A177" s="14" t="n"/>
      <c r="B177" s="39" t="n"/>
      <c r="C177" s="14" t="n"/>
      <c r="D177" s="14" t="n"/>
      <c r="E177" s="14" t="n"/>
      <c r="F177" s="16" t="n"/>
      <c r="G177" s="14" t="n"/>
      <c r="H177" s="14" t="n"/>
      <c r="I177" s="14" t="n"/>
      <c r="J177" s="11">
        <f>IF(AND(F177="",G177=""),"",IF(OR(G177="Agreed",G177="Signed",G177="Invoiced",G177="Paid"),"Committed",IF(G177="Quoted","Pending",IF(G177="Rejected","Excluded","Check status"))))</f>
        <v/>
      </c>
    </row>
    <row r="178">
      <c r="A178" s="14" t="n"/>
      <c r="B178" s="39" t="n"/>
      <c r="C178" s="14" t="n"/>
      <c r="D178" s="14" t="n"/>
      <c r="E178" s="14" t="n"/>
      <c r="F178" s="16" t="n"/>
      <c r="G178" s="14" t="n"/>
      <c r="H178" s="14" t="n"/>
      <c r="I178" s="14" t="n"/>
      <c r="J178" s="11">
        <f>IF(AND(F178="",G178=""),"",IF(OR(G178="Agreed",G178="Signed",G178="Invoiced",G178="Paid"),"Committed",IF(G178="Quoted","Pending",IF(G178="Rejected","Excluded","Check status"))))</f>
        <v/>
      </c>
    </row>
    <row r="179">
      <c r="A179" s="14" t="n"/>
      <c r="B179" s="39" t="n"/>
      <c r="C179" s="14" t="n"/>
      <c r="D179" s="14" t="n"/>
      <c r="E179" s="14" t="n"/>
      <c r="F179" s="16" t="n"/>
      <c r="G179" s="14" t="n"/>
      <c r="H179" s="14" t="n"/>
      <c r="I179" s="14" t="n"/>
      <c r="J179" s="11">
        <f>IF(AND(F179="",G179=""),"",IF(OR(G179="Agreed",G179="Signed",G179="Invoiced",G179="Paid"),"Committed",IF(G179="Quoted","Pending",IF(G179="Rejected","Excluded","Check status"))))</f>
        <v/>
      </c>
    </row>
    <row r="180">
      <c r="A180" s="14" t="n"/>
      <c r="B180" s="39" t="n"/>
      <c r="C180" s="14" t="n"/>
      <c r="D180" s="14" t="n"/>
      <c r="E180" s="14" t="n"/>
      <c r="F180" s="16" t="n"/>
      <c r="G180" s="14" t="n"/>
      <c r="H180" s="14" t="n"/>
      <c r="I180" s="14" t="n"/>
      <c r="J180" s="11">
        <f>IF(AND(F180="",G180=""),"",IF(OR(G180="Agreed",G180="Signed",G180="Invoiced",G180="Paid"),"Committed",IF(G180="Quoted","Pending",IF(G180="Rejected","Excluded","Check status"))))</f>
        <v/>
      </c>
    </row>
    <row r="181">
      <c r="A181" s="14" t="n"/>
      <c r="B181" s="39" t="n"/>
      <c r="C181" s="14" t="n"/>
      <c r="D181" s="14" t="n"/>
      <c r="E181" s="14" t="n"/>
      <c r="F181" s="16" t="n"/>
      <c r="G181" s="14" t="n"/>
      <c r="H181" s="14" t="n"/>
      <c r="I181" s="14" t="n"/>
      <c r="J181" s="11">
        <f>IF(AND(F181="",G181=""),"",IF(OR(G181="Agreed",G181="Signed",G181="Invoiced",G181="Paid"),"Committed",IF(G181="Quoted","Pending",IF(G181="Rejected","Excluded","Check status"))))</f>
        <v/>
      </c>
    </row>
    <row r="182">
      <c r="A182" s="14" t="n"/>
      <c r="B182" s="39" t="n"/>
      <c r="C182" s="14" t="n"/>
      <c r="D182" s="14" t="n"/>
      <c r="E182" s="14" t="n"/>
      <c r="F182" s="16" t="n"/>
      <c r="G182" s="14" t="n"/>
      <c r="H182" s="14" t="n"/>
      <c r="I182" s="14" t="n"/>
      <c r="J182" s="11">
        <f>IF(AND(F182="",G182=""),"",IF(OR(G182="Agreed",G182="Signed",G182="Invoiced",G182="Paid"),"Committed",IF(G182="Quoted","Pending",IF(G182="Rejected","Excluded","Check status"))))</f>
        <v/>
      </c>
    </row>
    <row r="183">
      <c r="A183" s="14" t="n"/>
      <c r="B183" s="39" t="n"/>
      <c r="C183" s="14" t="n"/>
      <c r="D183" s="14" t="n"/>
      <c r="E183" s="14" t="n"/>
      <c r="F183" s="16" t="n"/>
      <c r="G183" s="14" t="n"/>
      <c r="H183" s="14" t="n"/>
      <c r="I183" s="14" t="n"/>
      <c r="J183" s="11">
        <f>IF(AND(F183="",G183=""),"",IF(OR(G183="Agreed",G183="Signed",G183="Invoiced",G183="Paid"),"Committed",IF(G183="Quoted","Pending",IF(G183="Rejected","Excluded","Check status"))))</f>
        <v/>
      </c>
    </row>
    <row r="184">
      <c r="A184" s="14" t="n"/>
      <c r="B184" s="39" t="n"/>
      <c r="C184" s="14" t="n"/>
      <c r="D184" s="14" t="n"/>
      <c r="E184" s="14" t="n"/>
      <c r="F184" s="16" t="n"/>
      <c r="G184" s="14" t="n"/>
      <c r="H184" s="14" t="n"/>
      <c r="I184" s="14" t="n"/>
      <c r="J184" s="11">
        <f>IF(AND(F184="",G184=""),"",IF(OR(G184="Agreed",G184="Signed",G184="Invoiced",G184="Paid"),"Committed",IF(G184="Quoted","Pending",IF(G184="Rejected","Excluded","Check status"))))</f>
        <v/>
      </c>
    </row>
    <row r="185">
      <c r="A185" s="14" t="n"/>
      <c r="B185" s="39" t="n"/>
      <c r="C185" s="14" t="n"/>
      <c r="D185" s="14" t="n"/>
      <c r="E185" s="14" t="n"/>
      <c r="F185" s="16" t="n"/>
      <c r="G185" s="14" t="n"/>
      <c r="H185" s="14" t="n"/>
      <c r="I185" s="14" t="n"/>
      <c r="J185" s="11">
        <f>IF(AND(F185="",G185=""),"",IF(OR(G185="Agreed",G185="Signed",G185="Invoiced",G185="Paid"),"Committed",IF(G185="Quoted","Pending",IF(G185="Rejected","Excluded","Check status"))))</f>
        <v/>
      </c>
    </row>
    <row r="186">
      <c r="A186" s="14" t="n"/>
      <c r="B186" s="39" t="n"/>
      <c r="C186" s="14" t="n"/>
      <c r="D186" s="14" t="n"/>
      <c r="E186" s="14" t="n"/>
      <c r="F186" s="16" t="n"/>
      <c r="G186" s="14" t="n"/>
      <c r="H186" s="14" t="n"/>
      <c r="I186" s="14" t="n"/>
      <c r="J186" s="11">
        <f>IF(AND(F186="",G186=""),"",IF(OR(G186="Agreed",G186="Signed",G186="Invoiced",G186="Paid"),"Committed",IF(G186="Quoted","Pending",IF(G186="Rejected","Excluded","Check status"))))</f>
        <v/>
      </c>
    </row>
    <row r="187">
      <c r="A187" s="14" t="n"/>
      <c r="B187" s="39" t="n"/>
      <c r="C187" s="14" t="n"/>
      <c r="D187" s="14" t="n"/>
      <c r="E187" s="14" t="n"/>
      <c r="F187" s="16" t="n"/>
      <c r="G187" s="14" t="n"/>
      <c r="H187" s="14" t="n"/>
      <c r="I187" s="14" t="n"/>
      <c r="J187" s="11">
        <f>IF(AND(F187="",G187=""),"",IF(OR(G187="Agreed",G187="Signed",G187="Invoiced",G187="Paid"),"Committed",IF(G187="Quoted","Pending",IF(G187="Rejected","Excluded","Check status"))))</f>
        <v/>
      </c>
    </row>
    <row r="188">
      <c r="A188" s="14" t="n"/>
      <c r="B188" s="39" t="n"/>
      <c r="C188" s="14" t="n"/>
      <c r="D188" s="14" t="n"/>
      <c r="E188" s="14" t="n"/>
      <c r="F188" s="16" t="n"/>
      <c r="G188" s="14" t="n"/>
      <c r="H188" s="14" t="n"/>
      <c r="I188" s="14" t="n"/>
      <c r="J188" s="11">
        <f>IF(AND(F188="",G188=""),"",IF(OR(G188="Agreed",G188="Signed",G188="Invoiced",G188="Paid"),"Committed",IF(G188="Quoted","Pending",IF(G188="Rejected","Excluded","Check status"))))</f>
        <v/>
      </c>
    </row>
    <row r="189">
      <c r="A189" s="14" t="n"/>
      <c r="B189" s="39" t="n"/>
      <c r="C189" s="14" t="n"/>
      <c r="D189" s="14" t="n"/>
      <c r="E189" s="14" t="n"/>
      <c r="F189" s="16" t="n"/>
      <c r="G189" s="14" t="n"/>
      <c r="H189" s="14" t="n"/>
      <c r="I189" s="14" t="n"/>
      <c r="J189" s="11">
        <f>IF(AND(F189="",G189=""),"",IF(OR(G189="Agreed",G189="Signed",G189="Invoiced",G189="Paid"),"Committed",IF(G189="Quoted","Pending",IF(G189="Rejected","Excluded","Check status"))))</f>
        <v/>
      </c>
    </row>
    <row r="190">
      <c r="A190" s="14" t="n"/>
      <c r="B190" s="39" t="n"/>
      <c r="C190" s="14" t="n"/>
      <c r="D190" s="14" t="n"/>
      <c r="E190" s="14" t="n"/>
      <c r="F190" s="16" t="n"/>
      <c r="G190" s="14" t="n"/>
      <c r="H190" s="14" t="n"/>
      <c r="I190" s="14" t="n"/>
      <c r="J190" s="11">
        <f>IF(AND(F190="",G190=""),"",IF(OR(G190="Agreed",G190="Signed",G190="Invoiced",G190="Paid"),"Committed",IF(G190="Quoted","Pending",IF(G190="Rejected","Excluded","Check status"))))</f>
        <v/>
      </c>
    </row>
    <row r="191">
      <c r="A191" s="14" t="n"/>
      <c r="B191" s="39" t="n"/>
      <c r="C191" s="14" t="n"/>
      <c r="D191" s="14" t="n"/>
      <c r="E191" s="14" t="n"/>
      <c r="F191" s="16" t="n"/>
      <c r="G191" s="14" t="n"/>
      <c r="H191" s="14" t="n"/>
      <c r="I191" s="14" t="n"/>
      <c r="J191" s="11">
        <f>IF(AND(F191="",G191=""),"",IF(OR(G191="Agreed",G191="Signed",G191="Invoiced",G191="Paid"),"Committed",IF(G191="Quoted","Pending",IF(G191="Rejected","Excluded","Check status"))))</f>
        <v/>
      </c>
    </row>
    <row r="192">
      <c r="A192" s="14" t="n"/>
      <c r="B192" s="39" t="n"/>
      <c r="C192" s="14" t="n"/>
      <c r="D192" s="14" t="n"/>
      <c r="E192" s="14" t="n"/>
      <c r="F192" s="16" t="n"/>
      <c r="G192" s="14" t="n"/>
      <c r="H192" s="14" t="n"/>
      <c r="I192" s="14" t="n"/>
      <c r="J192" s="11">
        <f>IF(AND(F192="",G192=""),"",IF(OR(G192="Agreed",G192="Signed",G192="Invoiced",G192="Paid"),"Committed",IF(G192="Quoted","Pending",IF(G192="Rejected","Excluded","Check status"))))</f>
        <v/>
      </c>
    </row>
    <row r="193">
      <c r="A193" s="14" t="n"/>
      <c r="B193" s="39" t="n"/>
      <c r="C193" s="14" t="n"/>
      <c r="D193" s="14" t="n"/>
      <c r="E193" s="14" t="n"/>
      <c r="F193" s="16" t="n"/>
      <c r="G193" s="14" t="n"/>
      <c r="H193" s="14" t="n"/>
      <c r="I193" s="14" t="n"/>
      <c r="J193" s="11">
        <f>IF(AND(F193="",G193=""),"",IF(OR(G193="Agreed",G193="Signed",G193="Invoiced",G193="Paid"),"Committed",IF(G193="Quoted","Pending",IF(G193="Rejected","Excluded","Check status"))))</f>
        <v/>
      </c>
    </row>
    <row r="194">
      <c r="A194" s="14" t="n"/>
      <c r="B194" s="39" t="n"/>
      <c r="C194" s="14" t="n"/>
      <c r="D194" s="14" t="n"/>
      <c r="E194" s="14" t="n"/>
      <c r="F194" s="16" t="n"/>
      <c r="G194" s="14" t="n"/>
      <c r="H194" s="14" t="n"/>
      <c r="I194" s="14" t="n"/>
      <c r="J194" s="11">
        <f>IF(AND(F194="",G194=""),"",IF(OR(G194="Agreed",G194="Signed",G194="Invoiced",G194="Paid"),"Committed",IF(G194="Quoted","Pending",IF(G194="Rejected","Excluded","Check status"))))</f>
        <v/>
      </c>
    </row>
    <row r="195">
      <c r="A195" s="14" t="n"/>
      <c r="B195" s="39" t="n"/>
      <c r="C195" s="14" t="n"/>
      <c r="D195" s="14" t="n"/>
      <c r="E195" s="14" t="n"/>
      <c r="F195" s="16" t="n"/>
      <c r="G195" s="14" t="n"/>
      <c r="H195" s="14" t="n"/>
      <c r="I195" s="14" t="n"/>
      <c r="J195" s="11">
        <f>IF(AND(F195="",G195=""),"",IF(OR(G195="Agreed",G195="Signed",G195="Invoiced",G195="Paid"),"Committed",IF(G195="Quoted","Pending",IF(G195="Rejected","Excluded","Check status"))))</f>
        <v/>
      </c>
    </row>
    <row r="196">
      <c r="A196" s="14" t="n"/>
      <c r="B196" s="39" t="n"/>
      <c r="C196" s="14" t="n"/>
      <c r="D196" s="14" t="n"/>
      <c r="E196" s="14" t="n"/>
      <c r="F196" s="16" t="n"/>
      <c r="G196" s="14" t="n"/>
      <c r="H196" s="14" t="n"/>
      <c r="I196" s="14" t="n"/>
      <c r="J196" s="11">
        <f>IF(AND(F196="",G196=""),"",IF(OR(G196="Agreed",G196="Signed",G196="Invoiced",G196="Paid"),"Committed",IF(G196="Quoted","Pending",IF(G196="Rejected","Excluded","Check status"))))</f>
        <v/>
      </c>
    </row>
    <row r="197">
      <c r="A197" s="14" t="n"/>
      <c r="B197" s="39" t="n"/>
      <c r="C197" s="14" t="n"/>
      <c r="D197" s="14" t="n"/>
      <c r="E197" s="14" t="n"/>
      <c r="F197" s="16" t="n"/>
      <c r="G197" s="14" t="n"/>
      <c r="H197" s="14" t="n"/>
      <c r="I197" s="14" t="n"/>
      <c r="J197" s="11">
        <f>IF(AND(F197="",G197=""),"",IF(OR(G197="Agreed",G197="Signed",G197="Invoiced",G197="Paid"),"Committed",IF(G197="Quoted","Pending",IF(G197="Rejected","Excluded","Check status"))))</f>
        <v/>
      </c>
    </row>
    <row r="198">
      <c r="A198" s="14" t="n"/>
      <c r="B198" s="39" t="n"/>
      <c r="C198" s="14" t="n"/>
      <c r="D198" s="14" t="n"/>
      <c r="E198" s="14" t="n"/>
      <c r="F198" s="16" t="n"/>
      <c r="G198" s="14" t="n"/>
      <c r="H198" s="14" t="n"/>
      <c r="I198" s="14" t="n"/>
      <c r="J198" s="11">
        <f>IF(AND(F198="",G198=""),"",IF(OR(G198="Agreed",G198="Signed",G198="Invoiced",G198="Paid"),"Committed",IF(G198="Quoted","Pending",IF(G198="Rejected","Excluded","Check status"))))</f>
        <v/>
      </c>
    </row>
    <row r="199">
      <c r="A199" s="14" t="n"/>
      <c r="B199" s="39" t="n"/>
      <c r="C199" s="14" t="n"/>
      <c r="D199" s="14" t="n"/>
      <c r="E199" s="14" t="n"/>
      <c r="F199" s="16" t="n"/>
      <c r="G199" s="14" t="n"/>
      <c r="H199" s="14" t="n"/>
      <c r="I199" s="14" t="n"/>
      <c r="J199" s="11">
        <f>IF(AND(F199="",G199=""),"",IF(OR(G199="Agreed",G199="Signed",G199="Invoiced",G199="Paid"),"Committed",IF(G199="Quoted","Pending",IF(G199="Rejected","Excluded","Check status"))))</f>
        <v/>
      </c>
    </row>
    <row r="200">
      <c r="A200" s="14" t="n"/>
      <c r="B200" s="39" t="n"/>
      <c r="C200" s="14" t="n"/>
      <c r="D200" s="14" t="n"/>
      <c r="E200" s="14" t="n"/>
      <c r="F200" s="16" t="n"/>
      <c r="G200" s="14" t="n"/>
      <c r="H200" s="14" t="n"/>
      <c r="I200" s="14" t="n"/>
      <c r="J200" s="11">
        <f>IF(AND(F200="",G200=""),"",IF(OR(G200="Agreed",G200="Signed",G200="Invoiced",G200="Paid"),"Committed",IF(G200="Quoted","Pending",IF(G200="Rejected","Excluded","Check status"))))</f>
        <v/>
      </c>
    </row>
    <row r="201">
      <c r="A201" s="14" t="n"/>
      <c r="B201" s="39" t="n"/>
      <c r="C201" s="14" t="n"/>
      <c r="D201" s="14" t="n"/>
      <c r="E201" s="14" t="n"/>
      <c r="F201" s="16" t="n"/>
      <c r="G201" s="14" t="n"/>
      <c r="H201" s="14" t="n"/>
      <c r="I201" s="14" t="n"/>
      <c r="J201" s="11">
        <f>IF(AND(F201="",G201=""),"",IF(OR(G201="Agreed",G201="Signed",G201="Invoiced",G201="Paid"),"Committed",IF(G201="Quoted","Pending",IF(G201="Rejected","Excluded","Check status"))))</f>
        <v/>
      </c>
    </row>
    <row r="202">
      <c r="A202" s="14" t="n"/>
      <c r="B202" s="39" t="n"/>
      <c r="C202" s="14" t="n"/>
      <c r="D202" s="14" t="n"/>
      <c r="E202" s="14" t="n"/>
      <c r="F202" s="16" t="n"/>
      <c r="G202" s="14" t="n"/>
      <c r="H202" s="14" t="n"/>
      <c r="I202" s="14" t="n"/>
      <c r="J202" s="11">
        <f>IF(AND(F202="",G202=""),"",IF(OR(G202="Agreed",G202="Signed",G202="Invoiced",G202="Paid"),"Committed",IF(G202="Quoted","Pending",IF(G202="Rejected","Excluded","Check status"))))</f>
        <v/>
      </c>
    </row>
    <row r="203">
      <c r="A203" s="14" t="n"/>
      <c r="B203" s="39" t="n"/>
      <c r="C203" s="14" t="n"/>
      <c r="D203" s="14" t="n"/>
      <c r="E203" s="14" t="n"/>
      <c r="F203" s="16" t="n"/>
      <c r="G203" s="14" t="n"/>
      <c r="H203" s="14" t="n"/>
      <c r="I203" s="14" t="n"/>
      <c r="J203" s="11">
        <f>IF(AND(F203="",G203=""),"",IF(OR(G203="Agreed",G203="Signed",G203="Invoiced",G203="Paid"),"Committed",IF(G203="Quoted","Pending",IF(G203="Rejected","Excluded","Check status"))))</f>
        <v/>
      </c>
    </row>
    <row r="204">
      <c r="A204" s="14" t="n"/>
      <c r="B204" s="39" t="n"/>
      <c r="C204" s="14" t="n"/>
      <c r="D204" s="14" t="n"/>
      <c r="E204" s="14" t="n"/>
      <c r="F204" s="16" t="n"/>
      <c r="G204" s="14" t="n"/>
      <c r="H204" s="14" t="n"/>
      <c r="I204" s="14" t="n"/>
      <c r="J204" s="11">
        <f>IF(AND(F204="",G204=""),"",IF(OR(G204="Agreed",G204="Signed",G204="Invoiced",G204="Paid"),"Committed",IF(G204="Quoted","Pending",IF(G204="Rejected","Excluded","Check status"))))</f>
        <v/>
      </c>
    </row>
    <row r="205">
      <c r="A205" s="14" t="n"/>
      <c r="B205" s="39" t="n"/>
      <c r="C205" s="14" t="n"/>
      <c r="D205" s="14" t="n"/>
      <c r="E205" s="14" t="n"/>
      <c r="F205" s="16" t="n"/>
      <c r="G205" s="14" t="n"/>
      <c r="H205" s="14" t="n"/>
      <c r="I205" s="14" t="n"/>
      <c r="J205" s="11">
        <f>IF(AND(F205="",G205=""),"",IF(OR(G205="Agreed",G205="Signed",G205="Invoiced",G205="Paid"),"Committed",IF(G205="Quoted","Pending",IF(G205="Rejected","Excluded","Check status"))))</f>
        <v/>
      </c>
    </row>
    <row r="206">
      <c r="A206" s="14" t="n"/>
      <c r="B206" s="39" t="n"/>
      <c r="C206" s="14" t="n"/>
      <c r="D206" s="14" t="n"/>
      <c r="E206" s="14" t="n"/>
      <c r="F206" s="16" t="n"/>
      <c r="G206" s="14" t="n"/>
      <c r="H206" s="14" t="n"/>
      <c r="I206" s="14" t="n"/>
      <c r="J206" s="11">
        <f>IF(AND(F206="",G206=""),"",IF(OR(G206="Agreed",G206="Signed",G206="Invoiced",G206="Paid"),"Committed",IF(G206="Quoted","Pending",IF(G206="Rejected","Excluded","Check status"))))</f>
        <v/>
      </c>
    </row>
    <row r="207">
      <c r="A207" s="14" t="n"/>
      <c r="B207" s="39" t="n"/>
      <c r="C207" s="14" t="n"/>
      <c r="D207" s="14" t="n"/>
      <c r="E207" s="14" t="n"/>
      <c r="F207" s="16" t="n"/>
      <c r="G207" s="14" t="n"/>
      <c r="H207" s="14" t="n"/>
      <c r="I207" s="14" t="n"/>
      <c r="J207" s="11">
        <f>IF(AND(F207="",G207=""),"",IF(OR(G207="Agreed",G207="Signed",G207="Invoiced",G207="Paid"),"Committed",IF(G207="Quoted","Pending",IF(G207="Rejected","Excluded","Check status"))))</f>
        <v/>
      </c>
    </row>
    <row r="208">
      <c r="A208" s="14" t="n"/>
      <c r="B208" s="39" t="n"/>
      <c r="C208" s="14" t="n"/>
      <c r="D208" s="14" t="n"/>
      <c r="E208" s="14" t="n"/>
      <c r="F208" s="16" t="n"/>
      <c r="G208" s="14" t="n"/>
      <c r="H208" s="14" t="n"/>
      <c r="I208" s="14" t="n"/>
      <c r="J208" s="11">
        <f>IF(AND(F208="",G208=""),"",IF(OR(G208="Agreed",G208="Signed",G208="Invoiced",G208="Paid"),"Committed",IF(G208="Quoted","Pending",IF(G208="Rejected","Excluded","Check status"))))</f>
        <v/>
      </c>
    </row>
    <row r="209">
      <c r="A209" s="14" t="n"/>
      <c r="B209" s="39" t="n"/>
      <c r="C209" s="14" t="n"/>
      <c r="D209" s="14" t="n"/>
      <c r="E209" s="14" t="n"/>
      <c r="F209" s="16" t="n"/>
      <c r="G209" s="14" t="n"/>
      <c r="H209" s="14" t="n"/>
      <c r="I209" s="14" t="n"/>
      <c r="J209" s="11">
        <f>IF(AND(F209="",G209=""),"",IF(OR(G209="Agreed",G209="Signed",G209="Invoiced",G209="Paid"),"Committed",IF(G209="Quoted","Pending",IF(G209="Rejected","Excluded","Check status"))))</f>
        <v/>
      </c>
    </row>
    <row r="210">
      <c r="A210" s="14" t="n"/>
      <c r="B210" s="39" t="n"/>
      <c r="C210" s="14" t="n"/>
      <c r="D210" s="14" t="n"/>
      <c r="E210" s="14" t="n"/>
      <c r="F210" s="16" t="n"/>
      <c r="G210" s="14" t="n"/>
      <c r="H210" s="14" t="n"/>
      <c r="I210" s="14" t="n"/>
      <c r="J210" s="11">
        <f>IF(AND(F210="",G210=""),"",IF(OR(G210="Agreed",G210="Signed",G210="Invoiced",G210="Paid"),"Committed",IF(G210="Quoted","Pending",IF(G210="Rejected","Excluded","Check status"))))</f>
        <v/>
      </c>
    </row>
    <row r="211">
      <c r="A211" s="14" t="n"/>
      <c r="B211" s="39" t="n"/>
      <c r="C211" s="14" t="n"/>
      <c r="D211" s="14" t="n"/>
      <c r="E211" s="14" t="n"/>
      <c r="F211" s="16" t="n"/>
      <c r="G211" s="14" t="n"/>
      <c r="H211" s="14" t="n"/>
      <c r="I211" s="14" t="n"/>
      <c r="J211" s="11">
        <f>IF(AND(F211="",G211=""),"",IF(OR(G211="Agreed",G211="Signed",G211="Invoiced",G211="Paid"),"Committed",IF(G211="Quoted","Pending",IF(G211="Rejected","Excluded","Check status"))))</f>
        <v/>
      </c>
    </row>
    <row r="212">
      <c r="A212" s="14" t="n"/>
      <c r="B212" s="39" t="n"/>
      <c r="C212" s="14" t="n"/>
      <c r="D212" s="14" t="n"/>
      <c r="E212" s="14" t="n"/>
      <c r="F212" s="16" t="n"/>
      <c r="G212" s="14" t="n"/>
      <c r="H212" s="14" t="n"/>
      <c r="I212" s="14" t="n"/>
      <c r="J212" s="11">
        <f>IF(AND(F212="",G212=""),"",IF(OR(G212="Agreed",G212="Signed",G212="Invoiced",G212="Paid"),"Committed",IF(G212="Quoted","Pending",IF(G212="Rejected","Excluded","Check status"))))</f>
        <v/>
      </c>
    </row>
    <row r="213">
      <c r="A213" s="14" t="n"/>
      <c r="B213" s="39" t="n"/>
      <c r="C213" s="14" t="n"/>
      <c r="D213" s="14" t="n"/>
      <c r="E213" s="14" t="n"/>
      <c r="F213" s="16" t="n"/>
      <c r="G213" s="14" t="n"/>
      <c r="H213" s="14" t="n"/>
      <c r="I213" s="14" t="n"/>
      <c r="J213" s="11">
        <f>IF(AND(F213="",G213=""),"",IF(OR(G213="Agreed",G213="Signed",G213="Invoiced",G213="Paid"),"Committed",IF(G213="Quoted","Pending",IF(G213="Rejected","Excluded","Check status"))))</f>
        <v/>
      </c>
    </row>
    <row r="214">
      <c r="A214" s="14" t="n"/>
      <c r="B214" s="39" t="n"/>
      <c r="C214" s="14" t="n"/>
      <c r="D214" s="14" t="n"/>
      <c r="E214" s="14" t="n"/>
      <c r="F214" s="16" t="n"/>
      <c r="G214" s="14" t="n"/>
      <c r="H214" s="14" t="n"/>
      <c r="I214" s="14" t="n"/>
      <c r="J214" s="11">
        <f>IF(AND(F214="",G214=""),"",IF(OR(G214="Agreed",G214="Signed",G214="Invoiced",G214="Paid"),"Committed",IF(G214="Quoted","Pending",IF(G214="Rejected","Excluded","Check status"))))</f>
        <v/>
      </c>
    </row>
    <row r="215">
      <c r="A215" s="14" t="n"/>
      <c r="B215" s="39" t="n"/>
      <c r="C215" s="14" t="n"/>
      <c r="D215" s="14" t="n"/>
      <c r="E215" s="14" t="n"/>
      <c r="F215" s="16" t="n"/>
      <c r="G215" s="14" t="n"/>
      <c r="H215" s="14" t="n"/>
      <c r="I215" s="14" t="n"/>
      <c r="J215" s="11">
        <f>IF(AND(F215="",G215=""),"",IF(OR(G215="Agreed",G215="Signed",G215="Invoiced",G215="Paid"),"Committed",IF(G215="Quoted","Pending",IF(G215="Rejected","Excluded","Check status"))))</f>
        <v/>
      </c>
    </row>
    <row r="216">
      <c r="A216" s="14" t="n"/>
      <c r="B216" s="39" t="n"/>
      <c r="C216" s="14" t="n"/>
      <c r="D216" s="14" t="n"/>
      <c r="E216" s="14" t="n"/>
      <c r="F216" s="16" t="n"/>
      <c r="G216" s="14" t="n"/>
      <c r="H216" s="14" t="n"/>
      <c r="I216" s="14" t="n"/>
      <c r="J216" s="11">
        <f>IF(AND(F216="",G216=""),"",IF(OR(G216="Agreed",G216="Signed",G216="Invoiced",G216="Paid"),"Committed",IF(G216="Quoted","Pending",IF(G216="Rejected","Excluded","Check status"))))</f>
        <v/>
      </c>
    </row>
    <row r="217">
      <c r="A217" s="14" t="n"/>
      <c r="B217" s="39" t="n"/>
      <c r="C217" s="14" t="n"/>
      <c r="D217" s="14" t="n"/>
      <c r="E217" s="14" t="n"/>
      <c r="F217" s="16" t="n"/>
      <c r="G217" s="14" t="n"/>
      <c r="H217" s="14" t="n"/>
      <c r="I217" s="14" t="n"/>
      <c r="J217" s="11">
        <f>IF(AND(F217="",G217=""),"",IF(OR(G217="Agreed",G217="Signed",G217="Invoiced",G217="Paid"),"Committed",IF(G217="Quoted","Pending",IF(G217="Rejected","Excluded","Check status"))))</f>
        <v/>
      </c>
    </row>
    <row r="218">
      <c r="A218" s="14" t="n"/>
      <c r="B218" s="39" t="n"/>
      <c r="C218" s="14" t="n"/>
      <c r="D218" s="14" t="n"/>
      <c r="E218" s="14" t="n"/>
      <c r="F218" s="16" t="n"/>
      <c r="G218" s="14" t="n"/>
      <c r="H218" s="14" t="n"/>
      <c r="I218" s="14" t="n"/>
      <c r="J218" s="11">
        <f>IF(AND(F218="",G218=""),"",IF(OR(G218="Agreed",G218="Signed",G218="Invoiced",G218="Paid"),"Committed",IF(G218="Quoted","Pending",IF(G218="Rejected","Excluded","Check status"))))</f>
        <v/>
      </c>
    </row>
    <row r="219">
      <c r="A219" s="14" t="n"/>
      <c r="B219" s="39" t="n"/>
      <c r="C219" s="14" t="n"/>
      <c r="D219" s="14" t="n"/>
      <c r="E219" s="14" t="n"/>
      <c r="F219" s="16" t="n"/>
      <c r="G219" s="14" t="n"/>
      <c r="H219" s="14" t="n"/>
      <c r="I219" s="14" t="n"/>
      <c r="J219" s="11">
        <f>IF(AND(F219="",G219=""),"",IF(OR(G219="Agreed",G219="Signed",G219="Invoiced",G219="Paid"),"Committed",IF(G219="Quoted","Pending",IF(G219="Rejected","Excluded","Check status"))))</f>
        <v/>
      </c>
    </row>
    <row r="220">
      <c r="A220" s="14" t="n"/>
      <c r="B220" s="39" t="n"/>
      <c r="C220" s="14" t="n"/>
      <c r="D220" s="14" t="n"/>
      <c r="E220" s="14" t="n"/>
      <c r="F220" s="16" t="n"/>
      <c r="G220" s="14" t="n"/>
      <c r="H220" s="14" t="n"/>
      <c r="I220" s="14" t="n"/>
      <c r="J220" s="11">
        <f>IF(AND(F220="",G220=""),"",IF(OR(G220="Agreed",G220="Signed",G220="Invoiced",G220="Paid"),"Committed",IF(G220="Quoted","Pending",IF(G220="Rejected","Excluded","Check status"))))</f>
        <v/>
      </c>
    </row>
    <row r="221">
      <c r="A221" s="14" t="n"/>
      <c r="B221" s="39" t="n"/>
      <c r="C221" s="14" t="n"/>
      <c r="D221" s="14" t="n"/>
      <c r="E221" s="14" t="n"/>
      <c r="F221" s="16" t="n"/>
      <c r="G221" s="14" t="n"/>
      <c r="H221" s="14" t="n"/>
      <c r="I221" s="14" t="n"/>
      <c r="J221" s="11">
        <f>IF(AND(F221="",G221=""),"",IF(OR(G221="Agreed",G221="Signed",G221="Invoiced",G221="Paid"),"Committed",IF(G221="Quoted","Pending",IF(G221="Rejected","Excluded","Check status"))))</f>
        <v/>
      </c>
    </row>
    <row r="222">
      <c r="A222" s="14" t="n"/>
      <c r="B222" s="39" t="n"/>
      <c r="C222" s="14" t="n"/>
      <c r="D222" s="14" t="n"/>
      <c r="E222" s="14" t="n"/>
      <c r="F222" s="16" t="n"/>
      <c r="G222" s="14" t="n"/>
      <c r="H222" s="14" t="n"/>
      <c r="I222" s="14" t="n"/>
      <c r="J222" s="11">
        <f>IF(AND(F222="",G222=""),"",IF(OR(G222="Agreed",G222="Signed",G222="Invoiced",G222="Paid"),"Committed",IF(G222="Quoted","Pending",IF(G222="Rejected","Excluded","Check status"))))</f>
        <v/>
      </c>
    </row>
    <row r="223">
      <c r="A223" s="14" t="n"/>
      <c r="B223" s="39" t="n"/>
      <c r="C223" s="14" t="n"/>
      <c r="D223" s="14" t="n"/>
      <c r="E223" s="14" t="n"/>
      <c r="F223" s="16" t="n"/>
      <c r="G223" s="14" t="n"/>
      <c r="H223" s="14" t="n"/>
      <c r="I223" s="14" t="n"/>
      <c r="J223" s="11">
        <f>IF(AND(F223="",G223=""),"",IF(OR(G223="Agreed",G223="Signed",G223="Invoiced",G223="Paid"),"Committed",IF(G223="Quoted","Pending",IF(G223="Rejected","Excluded","Check status"))))</f>
        <v/>
      </c>
    </row>
    <row r="224">
      <c r="A224" s="14" t="n"/>
      <c r="B224" s="39" t="n"/>
      <c r="C224" s="14" t="n"/>
      <c r="D224" s="14" t="n"/>
      <c r="E224" s="14" t="n"/>
      <c r="F224" s="16" t="n"/>
      <c r="G224" s="14" t="n"/>
      <c r="H224" s="14" t="n"/>
      <c r="I224" s="14" t="n"/>
      <c r="J224" s="11">
        <f>IF(AND(F224="",G224=""),"",IF(OR(G224="Agreed",G224="Signed",G224="Invoiced",G224="Paid"),"Committed",IF(G224="Quoted","Pending",IF(G224="Rejected","Excluded","Check status"))))</f>
        <v/>
      </c>
    </row>
    <row r="225">
      <c r="A225" s="14" t="n"/>
      <c r="B225" s="39" t="n"/>
      <c r="C225" s="14" t="n"/>
      <c r="D225" s="14" t="n"/>
      <c r="E225" s="14" t="n"/>
      <c r="F225" s="16" t="n"/>
      <c r="G225" s="14" t="n"/>
      <c r="H225" s="14" t="n"/>
      <c r="I225" s="14" t="n"/>
      <c r="J225" s="11">
        <f>IF(AND(F225="",G225=""),"",IF(OR(G225="Agreed",G225="Signed",G225="Invoiced",G225="Paid"),"Committed",IF(G225="Quoted","Pending",IF(G225="Rejected","Excluded","Check status"))))</f>
        <v/>
      </c>
    </row>
    <row r="226">
      <c r="A226" s="14" t="n"/>
      <c r="B226" s="39" t="n"/>
      <c r="C226" s="14" t="n"/>
      <c r="D226" s="14" t="n"/>
      <c r="E226" s="14" t="n"/>
      <c r="F226" s="16" t="n"/>
      <c r="G226" s="14" t="n"/>
      <c r="H226" s="14" t="n"/>
      <c r="I226" s="14" t="n"/>
      <c r="J226" s="11">
        <f>IF(AND(F226="",G226=""),"",IF(OR(G226="Agreed",G226="Signed",G226="Invoiced",G226="Paid"),"Committed",IF(G226="Quoted","Pending",IF(G226="Rejected","Excluded","Check status"))))</f>
        <v/>
      </c>
    </row>
    <row r="227">
      <c r="A227" s="14" t="n"/>
      <c r="B227" s="39" t="n"/>
      <c r="C227" s="14" t="n"/>
      <c r="D227" s="14" t="n"/>
      <c r="E227" s="14" t="n"/>
      <c r="F227" s="16" t="n"/>
      <c r="G227" s="14" t="n"/>
      <c r="H227" s="14" t="n"/>
      <c r="I227" s="14" t="n"/>
      <c r="J227" s="11">
        <f>IF(AND(F227="",G227=""),"",IF(OR(G227="Agreed",G227="Signed",G227="Invoiced",G227="Paid"),"Committed",IF(G227="Quoted","Pending",IF(G227="Rejected","Excluded","Check status"))))</f>
        <v/>
      </c>
    </row>
    <row r="228">
      <c r="A228" s="14" t="n"/>
      <c r="B228" s="39" t="n"/>
      <c r="C228" s="14" t="n"/>
      <c r="D228" s="14" t="n"/>
      <c r="E228" s="14" t="n"/>
      <c r="F228" s="16" t="n"/>
      <c r="G228" s="14" t="n"/>
      <c r="H228" s="14" t="n"/>
      <c r="I228" s="14" t="n"/>
      <c r="J228" s="11">
        <f>IF(AND(F228="",G228=""),"",IF(OR(G228="Agreed",G228="Signed",G228="Invoiced",G228="Paid"),"Committed",IF(G228="Quoted","Pending",IF(G228="Rejected","Excluded","Check status"))))</f>
        <v/>
      </c>
    </row>
    <row r="229">
      <c r="A229" s="14" t="n"/>
      <c r="B229" s="39" t="n"/>
      <c r="C229" s="14" t="n"/>
      <c r="D229" s="14" t="n"/>
      <c r="E229" s="14" t="n"/>
      <c r="F229" s="16" t="n"/>
      <c r="G229" s="14" t="n"/>
      <c r="H229" s="14" t="n"/>
      <c r="I229" s="14" t="n"/>
      <c r="J229" s="11">
        <f>IF(AND(F229="",G229=""),"",IF(OR(G229="Agreed",G229="Signed",G229="Invoiced",G229="Paid"),"Committed",IF(G229="Quoted","Pending",IF(G229="Rejected","Excluded","Check status"))))</f>
        <v/>
      </c>
    </row>
    <row r="230">
      <c r="A230" s="14" t="n"/>
      <c r="B230" s="39" t="n"/>
      <c r="C230" s="14" t="n"/>
      <c r="D230" s="14" t="n"/>
      <c r="E230" s="14" t="n"/>
      <c r="F230" s="16" t="n"/>
      <c r="G230" s="14" t="n"/>
      <c r="H230" s="14" t="n"/>
      <c r="I230" s="14" t="n"/>
      <c r="J230" s="11">
        <f>IF(AND(F230="",G230=""),"",IF(OR(G230="Agreed",G230="Signed",G230="Invoiced",G230="Paid"),"Committed",IF(G230="Quoted","Pending",IF(G230="Rejected","Excluded","Check status"))))</f>
        <v/>
      </c>
    </row>
    <row r="231">
      <c r="A231" s="14" t="n"/>
      <c r="B231" s="39" t="n"/>
      <c r="C231" s="14" t="n"/>
      <c r="D231" s="14" t="n"/>
      <c r="E231" s="14" t="n"/>
      <c r="F231" s="16" t="n"/>
      <c r="G231" s="14" t="n"/>
      <c r="H231" s="14" t="n"/>
      <c r="I231" s="14" t="n"/>
      <c r="J231" s="11">
        <f>IF(AND(F231="",G231=""),"",IF(OR(G231="Agreed",G231="Signed",G231="Invoiced",G231="Paid"),"Committed",IF(G231="Quoted","Pending",IF(G231="Rejected","Excluded","Check status"))))</f>
        <v/>
      </c>
    </row>
    <row r="232">
      <c r="A232" s="14" t="n"/>
      <c r="B232" s="39" t="n"/>
      <c r="C232" s="14" t="n"/>
      <c r="D232" s="14" t="n"/>
      <c r="E232" s="14" t="n"/>
      <c r="F232" s="16" t="n"/>
      <c r="G232" s="14" t="n"/>
      <c r="H232" s="14" t="n"/>
      <c r="I232" s="14" t="n"/>
      <c r="J232" s="11">
        <f>IF(AND(F232="",G232=""),"",IF(OR(G232="Agreed",G232="Signed",G232="Invoiced",G232="Paid"),"Committed",IF(G232="Quoted","Pending",IF(G232="Rejected","Excluded","Check status"))))</f>
        <v/>
      </c>
    </row>
    <row r="233">
      <c r="A233" s="14" t="n"/>
      <c r="B233" s="39" t="n"/>
      <c r="C233" s="14" t="n"/>
      <c r="D233" s="14" t="n"/>
      <c r="E233" s="14" t="n"/>
      <c r="F233" s="16" t="n"/>
      <c r="G233" s="14" t="n"/>
      <c r="H233" s="14" t="n"/>
      <c r="I233" s="14" t="n"/>
      <c r="J233" s="11">
        <f>IF(AND(F233="",G233=""),"",IF(OR(G233="Agreed",G233="Signed",G233="Invoiced",G233="Paid"),"Committed",IF(G233="Quoted","Pending",IF(G233="Rejected","Excluded","Check status"))))</f>
        <v/>
      </c>
    </row>
    <row r="234">
      <c r="A234" s="14" t="n"/>
      <c r="B234" s="39" t="n"/>
      <c r="C234" s="14" t="n"/>
      <c r="D234" s="14" t="n"/>
      <c r="E234" s="14" t="n"/>
      <c r="F234" s="16" t="n"/>
      <c r="G234" s="14" t="n"/>
      <c r="H234" s="14" t="n"/>
      <c r="I234" s="14" t="n"/>
      <c r="J234" s="11">
        <f>IF(AND(F234="",G234=""),"",IF(OR(G234="Agreed",G234="Signed",G234="Invoiced",G234="Paid"),"Committed",IF(G234="Quoted","Pending",IF(G234="Rejected","Excluded","Check status"))))</f>
        <v/>
      </c>
    </row>
    <row r="235">
      <c r="A235" s="14" t="n"/>
      <c r="B235" s="39" t="n"/>
      <c r="C235" s="14" t="n"/>
      <c r="D235" s="14" t="n"/>
      <c r="E235" s="14" t="n"/>
      <c r="F235" s="16" t="n"/>
      <c r="G235" s="14" t="n"/>
      <c r="H235" s="14" t="n"/>
      <c r="I235" s="14" t="n"/>
      <c r="J235" s="11">
        <f>IF(AND(F235="",G235=""),"",IF(OR(G235="Agreed",G235="Signed",G235="Invoiced",G235="Paid"),"Committed",IF(G235="Quoted","Pending",IF(G235="Rejected","Excluded","Check status"))))</f>
        <v/>
      </c>
    </row>
    <row r="236">
      <c r="A236" s="14" t="n"/>
      <c r="B236" s="39" t="n"/>
      <c r="C236" s="14" t="n"/>
      <c r="D236" s="14" t="n"/>
      <c r="E236" s="14" t="n"/>
      <c r="F236" s="16" t="n"/>
      <c r="G236" s="14" t="n"/>
      <c r="H236" s="14" t="n"/>
      <c r="I236" s="14" t="n"/>
      <c r="J236" s="11">
        <f>IF(AND(F236="",G236=""),"",IF(OR(G236="Agreed",G236="Signed",G236="Invoiced",G236="Paid"),"Committed",IF(G236="Quoted","Pending",IF(G236="Rejected","Excluded","Check status"))))</f>
        <v/>
      </c>
    </row>
    <row r="237">
      <c r="A237" s="14" t="n"/>
      <c r="B237" s="39" t="n"/>
      <c r="C237" s="14" t="n"/>
      <c r="D237" s="14" t="n"/>
      <c r="E237" s="14" t="n"/>
      <c r="F237" s="16" t="n"/>
      <c r="G237" s="14" t="n"/>
      <c r="H237" s="14" t="n"/>
      <c r="I237" s="14" t="n"/>
      <c r="J237" s="11">
        <f>IF(AND(F237="",G237=""),"",IF(OR(G237="Agreed",G237="Signed",G237="Invoiced",G237="Paid"),"Committed",IF(G237="Quoted","Pending",IF(G237="Rejected","Excluded","Check status"))))</f>
        <v/>
      </c>
    </row>
    <row r="238">
      <c r="A238" s="14" t="n"/>
      <c r="B238" s="39" t="n"/>
      <c r="C238" s="14" t="n"/>
      <c r="D238" s="14" t="n"/>
      <c r="E238" s="14" t="n"/>
      <c r="F238" s="16" t="n"/>
      <c r="G238" s="14" t="n"/>
      <c r="H238" s="14" t="n"/>
      <c r="I238" s="14" t="n"/>
      <c r="J238" s="11">
        <f>IF(AND(F238="",G238=""),"",IF(OR(G238="Agreed",G238="Signed",G238="Invoiced",G238="Paid"),"Committed",IF(G238="Quoted","Pending",IF(G238="Rejected","Excluded","Check status"))))</f>
        <v/>
      </c>
    </row>
    <row r="239">
      <c r="A239" s="14" t="n"/>
      <c r="B239" s="39" t="n"/>
      <c r="C239" s="14" t="n"/>
      <c r="D239" s="14" t="n"/>
      <c r="E239" s="14" t="n"/>
      <c r="F239" s="16" t="n"/>
      <c r="G239" s="14" t="n"/>
      <c r="H239" s="14" t="n"/>
      <c r="I239" s="14" t="n"/>
      <c r="J239" s="11">
        <f>IF(AND(F239="",G239=""),"",IF(OR(G239="Agreed",G239="Signed",G239="Invoiced",G239="Paid"),"Committed",IF(G239="Quoted","Pending",IF(G239="Rejected","Excluded","Check status"))))</f>
        <v/>
      </c>
    </row>
    <row r="240">
      <c r="A240" s="14" t="n"/>
      <c r="B240" s="39" t="n"/>
      <c r="C240" s="14" t="n"/>
      <c r="D240" s="14" t="n"/>
      <c r="E240" s="14" t="n"/>
      <c r="F240" s="16" t="n"/>
      <c r="G240" s="14" t="n"/>
      <c r="H240" s="14" t="n"/>
      <c r="I240" s="14" t="n"/>
      <c r="J240" s="11">
        <f>IF(AND(F240="",G240=""),"",IF(OR(G240="Agreed",G240="Signed",G240="Invoiced",G240="Paid"),"Committed",IF(G240="Quoted","Pending",IF(G240="Rejected","Excluded","Check status"))))</f>
        <v/>
      </c>
    </row>
    <row r="241">
      <c r="A241" s="14" t="n"/>
      <c r="B241" s="39" t="n"/>
      <c r="C241" s="14" t="n"/>
      <c r="D241" s="14" t="n"/>
      <c r="E241" s="14" t="n"/>
      <c r="F241" s="16" t="n"/>
      <c r="G241" s="14" t="n"/>
      <c r="H241" s="14" t="n"/>
      <c r="I241" s="14" t="n"/>
      <c r="J241" s="11">
        <f>IF(AND(F241="",G241=""),"",IF(OR(G241="Agreed",G241="Signed",G241="Invoiced",G241="Paid"),"Committed",IF(G241="Quoted","Pending",IF(G241="Rejected","Excluded","Check status"))))</f>
        <v/>
      </c>
    </row>
    <row r="242">
      <c r="A242" s="14" t="n"/>
      <c r="B242" s="39" t="n"/>
      <c r="C242" s="14" t="n"/>
      <c r="D242" s="14" t="n"/>
      <c r="E242" s="14" t="n"/>
      <c r="F242" s="16" t="n"/>
      <c r="G242" s="14" t="n"/>
      <c r="H242" s="14" t="n"/>
      <c r="I242" s="14" t="n"/>
      <c r="J242" s="11">
        <f>IF(AND(F242="",G242=""),"",IF(OR(G242="Agreed",G242="Signed",G242="Invoiced",G242="Paid"),"Committed",IF(G242="Quoted","Pending",IF(G242="Rejected","Excluded","Check status"))))</f>
        <v/>
      </c>
    </row>
    <row r="243">
      <c r="A243" s="14" t="n"/>
      <c r="B243" s="39" t="n"/>
      <c r="C243" s="14" t="n"/>
      <c r="D243" s="14" t="n"/>
      <c r="E243" s="14" t="n"/>
      <c r="F243" s="16" t="n"/>
      <c r="G243" s="14" t="n"/>
      <c r="H243" s="14" t="n"/>
      <c r="I243" s="14" t="n"/>
      <c r="J243" s="11">
        <f>IF(AND(F243="",G243=""),"",IF(OR(G243="Agreed",G243="Signed",G243="Invoiced",G243="Paid"),"Committed",IF(G243="Quoted","Pending",IF(G243="Rejected","Excluded","Check status"))))</f>
        <v/>
      </c>
    </row>
    <row r="244">
      <c r="A244" s="14" t="n"/>
      <c r="B244" s="39" t="n"/>
      <c r="C244" s="14" t="n"/>
      <c r="D244" s="14" t="n"/>
      <c r="E244" s="14" t="n"/>
      <c r="F244" s="16" t="n"/>
      <c r="G244" s="14" t="n"/>
      <c r="H244" s="14" t="n"/>
      <c r="I244" s="14" t="n"/>
      <c r="J244" s="11">
        <f>IF(AND(F244="",G244=""),"",IF(OR(G244="Agreed",G244="Signed",G244="Invoiced",G244="Paid"),"Committed",IF(G244="Quoted","Pending",IF(G244="Rejected","Excluded","Check status"))))</f>
        <v/>
      </c>
    </row>
    <row r="245">
      <c r="A245" s="14" t="n"/>
      <c r="B245" s="39" t="n"/>
      <c r="C245" s="14" t="n"/>
      <c r="D245" s="14" t="n"/>
      <c r="E245" s="14" t="n"/>
      <c r="F245" s="16" t="n"/>
      <c r="G245" s="14" t="n"/>
      <c r="H245" s="14" t="n"/>
      <c r="I245" s="14" t="n"/>
      <c r="J245" s="11">
        <f>IF(AND(F245="",G245=""),"",IF(OR(G245="Agreed",G245="Signed",G245="Invoiced",G245="Paid"),"Committed",IF(G245="Quoted","Pending",IF(G245="Rejected","Excluded","Check status"))))</f>
        <v/>
      </c>
    </row>
    <row r="246">
      <c r="A246" s="14" t="n"/>
      <c r="B246" s="39" t="n"/>
      <c r="C246" s="14" t="n"/>
      <c r="D246" s="14" t="n"/>
      <c r="E246" s="14" t="n"/>
      <c r="F246" s="16" t="n"/>
      <c r="G246" s="14" t="n"/>
      <c r="H246" s="14" t="n"/>
      <c r="I246" s="14" t="n"/>
      <c r="J246" s="11">
        <f>IF(AND(F246="",G246=""),"",IF(OR(G246="Agreed",G246="Signed",G246="Invoiced",G246="Paid"),"Committed",IF(G246="Quoted","Pending",IF(G246="Rejected","Excluded","Check status"))))</f>
        <v/>
      </c>
    </row>
    <row r="247">
      <c r="A247" s="14" t="n"/>
      <c r="B247" s="39" t="n"/>
      <c r="C247" s="14" t="n"/>
      <c r="D247" s="14" t="n"/>
      <c r="E247" s="14" t="n"/>
      <c r="F247" s="16" t="n"/>
      <c r="G247" s="14" t="n"/>
      <c r="H247" s="14" t="n"/>
      <c r="I247" s="14" t="n"/>
      <c r="J247" s="11">
        <f>IF(AND(F247="",G247=""),"",IF(OR(G247="Agreed",G247="Signed",G247="Invoiced",G247="Paid"),"Committed",IF(G247="Quoted","Pending",IF(G247="Rejected","Excluded","Check status"))))</f>
        <v/>
      </c>
    </row>
    <row r="248">
      <c r="A248" s="14" t="n"/>
      <c r="B248" s="39" t="n"/>
      <c r="C248" s="14" t="n"/>
      <c r="D248" s="14" t="n"/>
      <c r="E248" s="14" t="n"/>
      <c r="F248" s="16" t="n"/>
      <c r="G248" s="14" t="n"/>
      <c r="H248" s="14" t="n"/>
      <c r="I248" s="14" t="n"/>
      <c r="J248" s="11">
        <f>IF(AND(F248="",G248=""),"",IF(OR(G248="Agreed",G248="Signed",G248="Invoiced",G248="Paid"),"Committed",IF(G248="Quoted","Pending",IF(G248="Rejected","Excluded","Check status"))))</f>
        <v/>
      </c>
    </row>
    <row r="249">
      <c r="A249" s="14" t="n"/>
      <c r="B249" s="39" t="n"/>
      <c r="C249" s="14" t="n"/>
      <c r="D249" s="14" t="n"/>
      <c r="E249" s="14" t="n"/>
      <c r="F249" s="16" t="n"/>
      <c r="G249" s="14" t="n"/>
      <c r="H249" s="14" t="n"/>
      <c r="I249" s="14" t="n"/>
      <c r="J249" s="11">
        <f>IF(AND(F249="",G249=""),"",IF(OR(G249="Agreed",G249="Signed",G249="Invoiced",G249="Paid"),"Committed",IF(G249="Quoted","Pending",IF(G249="Rejected","Excluded","Check status"))))</f>
        <v/>
      </c>
    </row>
    <row r="250">
      <c r="A250" s="14" t="n"/>
      <c r="B250" s="39" t="n"/>
      <c r="C250" s="14" t="n"/>
      <c r="D250" s="14" t="n"/>
      <c r="E250" s="14" t="n"/>
      <c r="F250" s="16" t="n"/>
      <c r="G250" s="14" t="n"/>
      <c r="H250" s="14" t="n"/>
      <c r="I250" s="14" t="n"/>
      <c r="J250" s="11">
        <f>IF(AND(F250="",G250=""),"",IF(OR(G250="Agreed",G250="Signed",G250="Invoiced",G250="Paid"),"Committed",IF(G250="Quoted","Pending",IF(G250="Rejected","Excluded","Check status"))))</f>
        <v/>
      </c>
    </row>
    <row r="251">
      <c r="A251" s="14" t="n"/>
      <c r="B251" s="39" t="n"/>
      <c r="C251" s="14" t="n"/>
      <c r="D251" s="14" t="n"/>
      <c r="E251" s="14" t="n"/>
      <c r="F251" s="16" t="n"/>
      <c r="G251" s="14" t="n"/>
      <c r="H251" s="14" t="n"/>
      <c r="I251" s="14" t="n"/>
      <c r="J251" s="11">
        <f>IF(AND(F251="",G251=""),"",IF(OR(G251="Agreed",G251="Signed",G251="Invoiced",G251="Paid"),"Committed",IF(G251="Quoted","Pending",IF(G251="Rejected","Excluded","Check status"))))</f>
        <v/>
      </c>
    </row>
    <row r="252">
      <c r="A252" s="14" t="n"/>
      <c r="B252" s="39" t="n"/>
      <c r="C252" s="14" t="n"/>
      <c r="D252" s="14" t="n"/>
      <c r="E252" s="14" t="n"/>
      <c r="F252" s="16" t="n"/>
      <c r="G252" s="14" t="n"/>
      <c r="H252" s="14" t="n"/>
      <c r="I252" s="14" t="n"/>
      <c r="J252" s="11">
        <f>IF(AND(F252="",G252=""),"",IF(OR(G252="Agreed",G252="Signed",G252="Invoiced",G252="Paid"),"Committed",IF(G252="Quoted","Pending",IF(G252="Rejected","Excluded","Check status"))))</f>
        <v/>
      </c>
    </row>
    <row r="253">
      <c r="A253" s="14" t="n"/>
      <c r="B253" s="39" t="n"/>
      <c r="C253" s="14" t="n"/>
      <c r="D253" s="14" t="n"/>
      <c r="E253" s="14" t="n"/>
      <c r="F253" s="16" t="n"/>
      <c r="G253" s="14" t="n"/>
      <c r="H253" s="14" t="n"/>
      <c r="I253" s="14" t="n"/>
      <c r="J253" s="11">
        <f>IF(AND(F253="",G253=""),"",IF(OR(G253="Agreed",G253="Signed",G253="Invoiced",G253="Paid"),"Committed",IF(G253="Quoted","Pending",IF(G253="Rejected","Excluded","Check status"))))</f>
        <v/>
      </c>
    </row>
    <row r="254">
      <c r="A254" s="14" t="n"/>
      <c r="B254" s="39" t="n"/>
      <c r="C254" s="14" t="n"/>
      <c r="D254" s="14" t="n"/>
      <c r="E254" s="14" t="n"/>
      <c r="F254" s="16" t="n"/>
      <c r="G254" s="14" t="n"/>
      <c r="H254" s="14" t="n"/>
      <c r="I254" s="14" t="n"/>
      <c r="J254" s="11">
        <f>IF(AND(F254="",G254=""),"",IF(OR(G254="Agreed",G254="Signed",G254="Invoiced",G254="Paid"),"Committed",IF(G254="Quoted","Pending",IF(G254="Rejected","Excluded","Check status"))))</f>
        <v/>
      </c>
    </row>
    <row r="255">
      <c r="A255" s="14" t="n"/>
      <c r="B255" s="39" t="n"/>
      <c r="C255" s="14" t="n"/>
      <c r="D255" s="14" t="n"/>
      <c r="E255" s="14" t="n"/>
      <c r="F255" s="16" t="n"/>
      <c r="G255" s="14" t="n"/>
      <c r="H255" s="14" t="n"/>
      <c r="I255" s="14" t="n"/>
      <c r="J255" s="11">
        <f>IF(AND(F255="",G255=""),"",IF(OR(G255="Agreed",G255="Signed",G255="Invoiced",G255="Paid"),"Committed",IF(G255="Quoted","Pending",IF(G255="Rejected","Excluded","Check status"))))</f>
        <v/>
      </c>
    </row>
    <row r="256">
      <c r="A256" s="14" t="n"/>
      <c r="B256" s="39" t="n"/>
      <c r="C256" s="14" t="n"/>
      <c r="D256" s="14" t="n"/>
      <c r="E256" s="14" t="n"/>
      <c r="F256" s="16" t="n"/>
      <c r="G256" s="14" t="n"/>
      <c r="H256" s="14" t="n"/>
      <c r="I256" s="14" t="n"/>
      <c r="J256" s="11">
        <f>IF(AND(F256="",G256=""),"",IF(OR(G256="Agreed",G256="Signed",G256="Invoiced",G256="Paid"),"Committed",IF(G256="Quoted","Pending",IF(G256="Rejected","Excluded","Check status"))))</f>
        <v/>
      </c>
    </row>
    <row r="257">
      <c r="A257" s="14" t="n"/>
      <c r="B257" s="39" t="n"/>
      <c r="C257" s="14" t="n"/>
      <c r="D257" s="14" t="n"/>
      <c r="E257" s="14" t="n"/>
      <c r="F257" s="16" t="n"/>
      <c r="G257" s="14" t="n"/>
      <c r="H257" s="14" t="n"/>
      <c r="I257" s="14" t="n"/>
      <c r="J257" s="11">
        <f>IF(AND(F257="",G257=""),"",IF(OR(G257="Agreed",G257="Signed",G257="Invoiced",G257="Paid"),"Committed",IF(G257="Quoted","Pending",IF(G257="Rejected","Excluded","Check status"))))</f>
        <v/>
      </c>
    </row>
    <row r="258">
      <c r="A258" s="14" t="n"/>
      <c r="B258" s="39" t="n"/>
      <c r="C258" s="14" t="n"/>
      <c r="D258" s="14" t="n"/>
      <c r="E258" s="14" t="n"/>
      <c r="F258" s="16" t="n"/>
      <c r="G258" s="14" t="n"/>
      <c r="H258" s="14" t="n"/>
      <c r="I258" s="14" t="n"/>
      <c r="J258" s="11">
        <f>IF(AND(F258="",G258=""),"",IF(OR(G258="Agreed",G258="Signed",G258="Invoiced",G258="Paid"),"Committed",IF(G258="Quoted","Pending",IF(G258="Rejected","Excluded","Check status"))))</f>
        <v/>
      </c>
    </row>
    <row r="259">
      <c r="A259" s="14" t="n"/>
      <c r="B259" s="39" t="n"/>
      <c r="C259" s="14" t="n"/>
      <c r="D259" s="14" t="n"/>
      <c r="E259" s="14" t="n"/>
      <c r="F259" s="16" t="n"/>
      <c r="G259" s="14" t="n"/>
      <c r="H259" s="14" t="n"/>
      <c r="I259" s="14" t="n"/>
      <c r="J259" s="11">
        <f>IF(AND(F259="",G259=""),"",IF(OR(G259="Agreed",G259="Signed",G259="Invoiced",G259="Paid"),"Committed",IF(G259="Quoted","Pending",IF(G259="Rejected","Excluded","Check status"))))</f>
        <v/>
      </c>
    </row>
    <row r="260">
      <c r="A260" s="14" t="n"/>
      <c r="B260" s="39" t="n"/>
      <c r="C260" s="14" t="n"/>
      <c r="D260" s="14" t="n"/>
      <c r="E260" s="14" t="n"/>
      <c r="F260" s="16" t="n"/>
      <c r="G260" s="14" t="n"/>
      <c r="H260" s="14" t="n"/>
      <c r="I260" s="14" t="n"/>
      <c r="J260" s="11">
        <f>IF(AND(F260="",G260=""),"",IF(OR(G260="Agreed",G260="Signed",G260="Invoiced",G260="Paid"),"Committed",IF(G260="Quoted","Pending",IF(G260="Rejected","Excluded","Check status"))))</f>
        <v/>
      </c>
    </row>
    <row r="261">
      <c r="A261" s="14" t="n"/>
      <c r="B261" s="39" t="n"/>
      <c r="C261" s="14" t="n"/>
      <c r="D261" s="14" t="n"/>
      <c r="E261" s="14" t="n"/>
      <c r="F261" s="16" t="n"/>
      <c r="G261" s="14" t="n"/>
      <c r="H261" s="14" t="n"/>
      <c r="I261" s="14" t="n"/>
      <c r="J261" s="11">
        <f>IF(AND(F261="",G261=""),"",IF(OR(G261="Agreed",G261="Signed",G261="Invoiced",G261="Paid"),"Committed",IF(G261="Quoted","Pending",IF(G261="Rejected","Excluded","Check status"))))</f>
        <v/>
      </c>
    </row>
    <row r="262">
      <c r="A262" s="14" t="n"/>
      <c r="B262" s="39" t="n"/>
      <c r="C262" s="14" t="n"/>
      <c r="D262" s="14" t="n"/>
      <c r="E262" s="14" t="n"/>
      <c r="F262" s="16" t="n"/>
      <c r="G262" s="14" t="n"/>
      <c r="H262" s="14" t="n"/>
      <c r="I262" s="14" t="n"/>
      <c r="J262" s="11">
        <f>IF(AND(F262="",G262=""),"",IF(OR(G262="Agreed",G262="Signed",G262="Invoiced",G262="Paid"),"Committed",IF(G262="Quoted","Pending",IF(G262="Rejected","Excluded","Check status"))))</f>
        <v/>
      </c>
    </row>
    <row r="263">
      <c r="A263" s="14" t="n"/>
      <c r="B263" s="39" t="n"/>
      <c r="C263" s="14" t="n"/>
      <c r="D263" s="14" t="n"/>
      <c r="E263" s="14" t="n"/>
      <c r="F263" s="16" t="n"/>
      <c r="G263" s="14" t="n"/>
      <c r="H263" s="14" t="n"/>
      <c r="I263" s="14" t="n"/>
      <c r="J263" s="11">
        <f>IF(AND(F263="",G263=""),"",IF(OR(G263="Agreed",G263="Signed",G263="Invoiced",G263="Paid"),"Committed",IF(G263="Quoted","Pending",IF(G263="Rejected","Excluded","Check status"))))</f>
        <v/>
      </c>
    </row>
    <row r="264">
      <c r="A264" s="14" t="n"/>
      <c r="B264" s="39" t="n"/>
      <c r="C264" s="14" t="n"/>
      <c r="D264" s="14" t="n"/>
      <c r="E264" s="14" t="n"/>
      <c r="F264" s="16" t="n"/>
      <c r="G264" s="14" t="n"/>
      <c r="H264" s="14" t="n"/>
      <c r="I264" s="14" t="n"/>
      <c r="J264" s="11">
        <f>IF(AND(F264="",G264=""),"",IF(OR(G264="Agreed",G264="Signed",G264="Invoiced",G264="Paid"),"Committed",IF(G264="Quoted","Pending",IF(G264="Rejected","Excluded","Check status"))))</f>
        <v/>
      </c>
    </row>
    <row r="265">
      <c r="A265" s="14" t="n"/>
      <c r="B265" s="39" t="n"/>
      <c r="C265" s="14" t="n"/>
      <c r="D265" s="14" t="n"/>
      <c r="E265" s="14" t="n"/>
      <c r="F265" s="16" t="n"/>
      <c r="G265" s="14" t="n"/>
      <c r="H265" s="14" t="n"/>
      <c r="I265" s="14" t="n"/>
      <c r="J265" s="11">
        <f>IF(AND(F265="",G265=""),"",IF(OR(G265="Agreed",G265="Signed",G265="Invoiced",G265="Paid"),"Committed",IF(G265="Quoted","Pending",IF(G265="Rejected","Excluded","Check status"))))</f>
        <v/>
      </c>
    </row>
    <row r="266">
      <c r="A266" s="14" t="n"/>
      <c r="B266" s="39" t="n"/>
      <c r="C266" s="14" t="n"/>
      <c r="D266" s="14" t="n"/>
      <c r="E266" s="14" t="n"/>
      <c r="F266" s="16" t="n"/>
      <c r="G266" s="14" t="n"/>
      <c r="H266" s="14" t="n"/>
      <c r="I266" s="14" t="n"/>
      <c r="J266" s="11">
        <f>IF(AND(F266="",G266=""),"",IF(OR(G266="Agreed",G266="Signed",G266="Invoiced",G266="Paid"),"Committed",IF(G266="Quoted","Pending",IF(G266="Rejected","Excluded","Check status"))))</f>
        <v/>
      </c>
    </row>
    <row r="267">
      <c r="A267" s="14" t="n"/>
      <c r="B267" s="39" t="n"/>
      <c r="C267" s="14" t="n"/>
      <c r="D267" s="14" t="n"/>
      <c r="E267" s="14" t="n"/>
      <c r="F267" s="16" t="n"/>
      <c r="G267" s="14" t="n"/>
      <c r="H267" s="14" t="n"/>
      <c r="I267" s="14" t="n"/>
      <c r="J267" s="11">
        <f>IF(AND(F267="",G267=""),"",IF(OR(G267="Agreed",G267="Signed",G267="Invoiced",G267="Paid"),"Committed",IF(G267="Quoted","Pending",IF(G267="Rejected","Excluded","Check status"))))</f>
        <v/>
      </c>
    </row>
    <row r="268">
      <c r="A268" s="14" t="n"/>
      <c r="B268" s="39" t="n"/>
      <c r="C268" s="14" t="n"/>
      <c r="D268" s="14" t="n"/>
      <c r="E268" s="14" t="n"/>
      <c r="F268" s="16" t="n"/>
      <c r="G268" s="14" t="n"/>
      <c r="H268" s="14" t="n"/>
      <c r="I268" s="14" t="n"/>
      <c r="J268" s="11">
        <f>IF(AND(F268="",G268=""),"",IF(OR(G268="Agreed",G268="Signed",G268="Invoiced",G268="Paid"),"Committed",IF(G268="Quoted","Pending",IF(G268="Rejected","Excluded","Check status"))))</f>
        <v/>
      </c>
    </row>
    <row r="269">
      <c r="A269" s="14" t="n"/>
      <c r="B269" s="39" t="n"/>
      <c r="C269" s="14" t="n"/>
      <c r="D269" s="14" t="n"/>
      <c r="E269" s="14" t="n"/>
      <c r="F269" s="16" t="n"/>
      <c r="G269" s="14" t="n"/>
      <c r="H269" s="14" t="n"/>
      <c r="I269" s="14" t="n"/>
      <c r="J269" s="11">
        <f>IF(AND(F269="",G269=""),"",IF(OR(G269="Agreed",G269="Signed",G269="Invoiced",G269="Paid"),"Committed",IF(G269="Quoted","Pending",IF(G269="Rejected","Excluded","Check status"))))</f>
        <v/>
      </c>
    </row>
    <row r="270">
      <c r="A270" s="14" t="n"/>
      <c r="B270" s="39" t="n"/>
      <c r="C270" s="14" t="n"/>
      <c r="D270" s="14" t="n"/>
      <c r="E270" s="14" t="n"/>
      <c r="F270" s="16" t="n"/>
      <c r="G270" s="14" t="n"/>
      <c r="H270" s="14" t="n"/>
      <c r="I270" s="14" t="n"/>
      <c r="J270" s="11">
        <f>IF(AND(F270="",G270=""),"",IF(OR(G270="Agreed",G270="Signed",G270="Invoiced",G270="Paid"),"Committed",IF(G270="Quoted","Pending",IF(G270="Rejected","Excluded","Check status"))))</f>
        <v/>
      </c>
    </row>
    <row r="271">
      <c r="A271" s="14" t="n"/>
      <c r="B271" s="39" t="n"/>
      <c r="C271" s="14" t="n"/>
      <c r="D271" s="14" t="n"/>
      <c r="E271" s="14" t="n"/>
      <c r="F271" s="16" t="n"/>
      <c r="G271" s="14" t="n"/>
      <c r="H271" s="14" t="n"/>
      <c r="I271" s="14" t="n"/>
      <c r="J271" s="11">
        <f>IF(AND(F271="",G271=""),"",IF(OR(G271="Agreed",G271="Signed",G271="Invoiced",G271="Paid"),"Committed",IF(G271="Quoted","Pending",IF(G271="Rejected","Excluded","Check status"))))</f>
        <v/>
      </c>
    </row>
    <row r="272">
      <c r="A272" s="14" t="n"/>
      <c r="B272" s="39" t="n"/>
      <c r="C272" s="14" t="n"/>
      <c r="D272" s="14" t="n"/>
      <c r="E272" s="14" t="n"/>
      <c r="F272" s="16" t="n"/>
      <c r="G272" s="14" t="n"/>
      <c r="H272" s="14" t="n"/>
      <c r="I272" s="14" t="n"/>
      <c r="J272" s="11">
        <f>IF(AND(F272="",G272=""),"",IF(OR(G272="Agreed",G272="Signed",G272="Invoiced",G272="Paid"),"Committed",IF(G272="Quoted","Pending",IF(G272="Rejected","Excluded","Check status"))))</f>
        <v/>
      </c>
    </row>
    <row r="273">
      <c r="A273" s="14" t="n"/>
      <c r="B273" s="39" t="n"/>
      <c r="C273" s="14" t="n"/>
      <c r="D273" s="14" t="n"/>
      <c r="E273" s="14" t="n"/>
      <c r="F273" s="16" t="n"/>
      <c r="G273" s="14" t="n"/>
      <c r="H273" s="14" t="n"/>
      <c r="I273" s="14" t="n"/>
      <c r="J273" s="11">
        <f>IF(AND(F273="",G273=""),"",IF(OR(G273="Agreed",G273="Signed",G273="Invoiced",G273="Paid"),"Committed",IF(G273="Quoted","Pending",IF(G273="Rejected","Excluded","Check status"))))</f>
        <v/>
      </c>
    </row>
    <row r="274">
      <c r="A274" s="14" t="n"/>
      <c r="B274" s="39" t="n"/>
      <c r="C274" s="14" t="n"/>
      <c r="D274" s="14" t="n"/>
      <c r="E274" s="14" t="n"/>
      <c r="F274" s="16" t="n"/>
      <c r="G274" s="14" t="n"/>
      <c r="H274" s="14" t="n"/>
      <c r="I274" s="14" t="n"/>
      <c r="J274" s="11">
        <f>IF(AND(F274="",G274=""),"",IF(OR(G274="Agreed",G274="Signed",G274="Invoiced",G274="Paid"),"Committed",IF(G274="Quoted","Pending",IF(G274="Rejected","Excluded","Check status"))))</f>
        <v/>
      </c>
    </row>
    <row r="275">
      <c r="A275" s="14" t="n"/>
      <c r="B275" s="39" t="n"/>
      <c r="C275" s="14" t="n"/>
      <c r="D275" s="14" t="n"/>
      <c r="E275" s="14" t="n"/>
      <c r="F275" s="16" t="n"/>
      <c r="G275" s="14" t="n"/>
      <c r="H275" s="14" t="n"/>
      <c r="I275" s="14" t="n"/>
      <c r="J275" s="11">
        <f>IF(AND(F275="",G275=""),"",IF(OR(G275="Agreed",G275="Signed",G275="Invoiced",G275="Paid"),"Committed",IF(G275="Quoted","Pending",IF(G275="Rejected","Excluded","Check status"))))</f>
        <v/>
      </c>
    </row>
    <row r="276">
      <c r="A276" s="14" t="n"/>
      <c r="B276" s="39" t="n"/>
      <c r="C276" s="14" t="n"/>
      <c r="D276" s="14" t="n"/>
      <c r="E276" s="14" t="n"/>
      <c r="F276" s="16" t="n"/>
      <c r="G276" s="14" t="n"/>
      <c r="H276" s="14" t="n"/>
      <c r="I276" s="14" t="n"/>
      <c r="J276" s="11">
        <f>IF(AND(F276="",G276=""),"",IF(OR(G276="Agreed",G276="Signed",G276="Invoiced",G276="Paid"),"Committed",IF(G276="Quoted","Pending",IF(G276="Rejected","Excluded","Check status"))))</f>
        <v/>
      </c>
    </row>
    <row r="277">
      <c r="A277" s="14" t="n"/>
      <c r="B277" s="39" t="n"/>
      <c r="C277" s="14" t="n"/>
      <c r="D277" s="14" t="n"/>
      <c r="E277" s="14" t="n"/>
      <c r="F277" s="16" t="n"/>
      <c r="G277" s="14" t="n"/>
      <c r="H277" s="14" t="n"/>
      <c r="I277" s="14" t="n"/>
      <c r="J277" s="11">
        <f>IF(AND(F277="",G277=""),"",IF(OR(G277="Agreed",G277="Signed",G277="Invoiced",G277="Paid"),"Committed",IF(G277="Quoted","Pending",IF(G277="Rejected","Excluded","Check status"))))</f>
        <v/>
      </c>
    </row>
    <row r="278">
      <c r="A278" s="14" t="n"/>
      <c r="B278" s="39" t="n"/>
      <c r="C278" s="14" t="n"/>
      <c r="D278" s="14" t="n"/>
      <c r="E278" s="14" t="n"/>
      <c r="F278" s="16" t="n"/>
      <c r="G278" s="14" t="n"/>
      <c r="H278" s="14" t="n"/>
      <c r="I278" s="14" t="n"/>
      <c r="J278" s="11">
        <f>IF(AND(F278="",G278=""),"",IF(OR(G278="Agreed",G278="Signed",G278="Invoiced",G278="Paid"),"Committed",IF(G278="Quoted","Pending",IF(G278="Rejected","Excluded","Check status"))))</f>
        <v/>
      </c>
    </row>
    <row r="279">
      <c r="A279" s="14" t="n"/>
      <c r="B279" s="39" t="n"/>
      <c r="C279" s="14" t="n"/>
      <c r="D279" s="14" t="n"/>
      <c r="E279" s="14" t="n"/>
      <c r="F279" s="16" t="n"/>
      <c r="G279" s="14" t="n"/>
      <c r="H279" s="14" t="n"/>
      <c r="I279" s="14" t="n"/>
      <c r="J279" s="11">
        <f>IF(AND(F279="",G279=""),"",IF(OR(G279="Agreed",G279="Signed",G279="Invoiced",G279="Paid"),"Committed",IF(G279="Quoted","Pending",IF(G279="Rejected","Excluded","Check status"))))</f>
        <v/>
      </c>
    </row>
    <row r="280">
      <c r="A280" s="14" t="n"/>
      <c r="B280" s="39" t="n"/>
      <c r="C280" s="14" t="n"/>
      <c r="D280" s="14" t="n"/>
      <c r="E280" s="14" t="n"/>
      <c r="F280" s="16" t="n"/>
      <c r="G280" s="14" t="n"/>
      <c r="H280" s="14" t="n"/>
      <c r="I280" s="14" t="n"/>
      <c r="J280" s="11">
        <f>IF(AND(F280="",G280=""),"",IF(OR(G280="Agreed",G280="Signed",G280="Invoiced",G280="Paid"),"Committed",IF(G280="Quoted","Pending",IF(G280="Rejected","Excluded","Check status"))))</f>
        <v/>
      </c>
    </row>
    <row r="281">
      <c r="A281" s="14" t="n"/>
      <c r="B281" s="39" t="n"/>
      <c r="C281" s="14" t="n"/>
      <c r="D281" s="14" t="n"/>
      <c r="E281" s="14" t="n"/>
      <c r="F281" s="16" t="n"/>
      <c r="G281" s="14" t="n"/>
      <c r="H281" s="14" t="n"/>
      <c r="I281" s="14" t="n"/>
      <c r="J281" s="11">
        <f>IF(AND(F281="",G281=""),"",IF(OR(G281="Agreed",G281="Signed",G281="Invoiced",G281="Paid"),"Committed",IF(G281="Quoted","Pending",IF(G281="Rejected","Excluded","Check status"))))</f>
        <v/>
      </c>
    </row>
    <row r="282">
      <c r="A282" s="14" t="n"/>
      <c r="B282" s="39" t="n"/>
      <c r="C282" s="14" t="n"/>
      <c r="D282" s="14" t="n"/>
      <c r="E282" s="14" t="n"/>
      <c r="F282" s="16" t="n"/>
      <c r="G282" s="14" t="n"/>
      <c r="H282" s="14" t="n"/>
      <c r="I282" s="14" t="n"/>
      <c r="J282" s="11">
        <f>IF(AND(F282="",G282=""),"",IF(OR(G282="Agreed",G282="Signed",G282="Invoiced",G282="Paid"),"Committed",IF(G282="Quoted","Pending",IF(G282="Rejected","Excluded","Check status"))))</f>
        <v/>
      </c>
    </row>
    <row r="283">
      <c r="A283" s="14" t="n"/>
      <c r="B283" s="39" t="n"/>
      <c r="C283" s="14" t="n"/>
      <c r="D283" s="14" t="n"/>
      <c r="E283" s="14" t="n"/>
      <c r="F283" s="16" t="n"/>
      <c r="G283" s="14" t="n"/>
      <c r="H283" s="14" t="n"/>
      <c r="I283" s="14" t="n"/>
      <c r="J283" s="11">
        <f>IF(AND(F283="",G283=""),"",IF(OR(G283="Agreed",G283="Signed",G283="Invoiced",G283="Paid"),"Committed",IF(G283="Quoted","Pending",IF(G283="Rejected","Excluded","Check status"))))</f>
        <v/>
      </c>
    </row>
    <row r="284">
      <c r="A284" s="14" t="n"/>
      <c r="B284" s="39" t="n"/>
      <c r="C284" s="14" t="n"/>
      <c r="D284" s="14" t="n"/>
      <c r="E284" s="14" t="n"/>
      <c r="F284" s="16" t="n"/>
      <c r="G284" s="14" t="n"/>
      <c r="H284" s="14" t="n"/>
      <c r="I284" s="14" t="n"/>
      <c r="J284" s="11">
        <f>IF(AND(F284="",G284=""),"",IF(OR(G284="Agreed",G284="Signed",G284="Invoiced",G284="Paid"),"Committed",IF(G284="Quoted","Pending",IF(G284="Rejected","Excluded","Check status"))))</f>
        <v/>
      </c>
    </row>
    <row r="285">
      <c r="A285" s="14" t="n"/>
      <c r="B285" s="39" t="n"/>
      <c r="C285" s="14" t="n"/>
      <c r="D285" s="14" t="n"/>
      <c r="E285" s="14" t="n"/>
      <c r="F285" s="16" t="n"/>
      <c r="G285" s="14" t="n"/>
      <c r="H285" s="14" t="n"/>
      <c r="I285" s="14" t="n"/>
      <c r="J285" s="11">
        <f>IF(AND(F285="",G285=""),"",IF(OR(G285="Agreed",G285="Signed",G285="Invoiced",G285="Paid"),"Committed",IF(G285="Quoted","Pending",IF(G285="Rejected","Excluded","Check status"))))</f>
        <v/>
      </c>
    </row>
    <row r="286">
      <c r="A286" s="14" t="n"/>
      <c r="B286" s="39" t="n"/>
      <c r="C286" s="14" t="n"/>
      <c r="D286" s="14" t="n"/>
      <c r="E286" s="14" t="n"/>
      <c r="F286" s="16" t="n"/>
      <c r="G286" s="14" t="n"/>
      <c r="H286" s="14" t="n"/>
      <c r="I286" s="14" t="n"/>
      <c r="J286" s="11">
        <f>IF(AND(F286="",G286=""),"",IF(OR(G286="Agreed",G286="Signed",G286="Invoiced",G286="Paid"),"Committed",IF(G286="Quoted","Pending",IF(G286="Rejected","Excluded","Check status"))))</f>
        <v/>
      </c>
    </row>
    <row r="287">
      <c r="A287" s="14" t="n"/>
      <c r="B287" s="39" t="n"/>
      <c r="C287" s="14" t="n"/>
      <c r="D287" s="14" t="n"/>
      <c r="E287" s="14" t="n"/>
      <c r="F287" s="16" t="n"/>
      <c r="G287" s="14" t="n"/>
      <c r="H287" s="14" t="n"/>
      <c r="I287" s="14" t="n"/>
      <c r="J287" s="11">
        <f>IF(AND(F287="",G287=""),"",IF(OR(G287="Agreed",G287="Signed",G287="Invoiced",G287="Paid"),"Committed",IF(G287="Quoted","Pending",IF(G287="Rejected","Excluded","Check status"))))</f>
        <v/>
      </c>
    </row>
    <row r="288">
      <c r="A288" s="14" t="n"/>
      <c r="B288" s="39" t="n"/>
      <c r="C288" s="14" t="n"/>
      <c r="D288" s="14" t="n"/>
      <c r="E288" s="14" t="n"/>
      <c r="F288" s="16" t="n"/>
      <c r="G288" s="14" t="n"/>
      <c r="H288" s="14" t="n"/>
      <c r="I288" s="14" t="n"/>
      <c r="J288" s="11">
        <f>IF(AND(F288="",G288=""),"",IF(OR(G288="Agreed",G288="Signed",G288="Invoiced",G288="Paid"),"Committed",IF(G288="Quoted","Pending",IF(G288="Rejected","Excluded","Check status"))))</f>
        <v/>
      </c>
    </row>
    <row r="289">
      <c r="A289" s="14" t="n"/>
      <c r="B289" s="39" t="n"/>
      <c r="C289" s="14" t="n"/>
      <c r="D289" s="14" t="n"/>
      <c r="E289" s="14" t="n"/>
      <c r="F289" s="16" t="n"/>
      <c r="G289" s="14" t="n"/>
      <c r="H289" s="14" t="n"/>
      <c r="I289" s="14" t="n"/>
      <c r="J289" s="11">
        <f>IF(AND(F289="",G289=""),"",IF(OR(G289="Agreed",G289="Signed",G289="Invoiced",G289="Paid"),"Committed",IF(G289="Quoted","Pending",IF(G289="Rejected","Excluded","Check status"))))</f>
        <v/>
      </c>
    </row>
    <row r="290">
      <c r="A290" s="14" t="n"/>
      <c r="B290" s="39" t="n"/>
      <c r="C290" s="14" t="n"/>
      <c r="D290" s="14" t="n"/>
      <c r="E290" s="14" t="n"/>
      <c r="F290" s="16" t="n"/>
      <c r="G290" s="14" t="n"/>
      <c r="H290" s="14" t="n"/>
      <c r="I290" s="14" t="n"/>
      <c r="J290" s="11">
        <f>IF(AND(F290="",G290=""),"",IF(OR(G290="Agreed",G290="Signed",G290="Invoiced",G290="Paid"),"Committed",IF(G290="Quoted","Pending",IF(G290="Rejected","Excluded","Check status"))))</f>
        <v/>
      </c>
    </row>
    <row r="291">
      <c r="A291" s="14" t="n"/>
      <c r="B291" s="39" t="n"/>
      <c r="C291" s="14" t="n"/>
      <c r="D291" s="14" t="n"/>
      <c r="E291" s="14" t="n"/>
      <c r="F291" s="16" t="n"/>
      <c r="G291" s="14" t="n"/>
      <c r="H291" s="14" t="n"/>
      <c r="I291" s="14" t="n"/>
      <c r="J291" s="11">
        <f>IF(AND(F291="",G291=""),"",IF(OR(G291="Agreed",G291="Signed",G291="Invoiced",G291="Paid"),"Committed",IF(G291="Quoted","Pending",IF(G291="Rejected","Excluded","Check status"))))</f>
        <v/>
      </c>
    </row>
    <row r="292">
      <c r="A292" s="14" t="n"/>
      <c r="B292" s="39" t="n"/>
      <c r="C292" s="14" t="n"/>
      <c r="D292" s="14" t="n"/>
      <c r="E292" s="14" t="n"/>
      <c r="F292" s="16" t="n"/>
      <c r="G292" s="14" t="n"/>
      <c r="H292" s="14" t="n"/>
      <c r="I292" s="14" t="n"/>
      <c r="J292" s="11">
        <f>IF(AND(F292="",G292=""),"",IF(OR(G292="Agreed",G292="Signed",G292="Invoiced",G292="Paid"),"Committed",IF(G292="Quoted","Pending",IF(G292="Rejected","Excluded","Check status"))))</f>
        <v/>
      </c>
    </row>
    <row r="293">
      <c r="A293" s="14" t="n"/>
      <c r="B293" s="39" t="n"/>
      <c r="C293" s="14" t="n"/>
      <c r="D293" s="14" t="n"/>
      <c r="E293" s="14" t="n"/>
      <c r="F293" s="16" t="n"/>
      <c r="G293" s="14" t="n"/>
      <c r="H293" s="14" t="n"/>
      <c r="I293" s="14" t="n"/>
      <c r="J293" s="11">
        <f>IF(AND(F293="",G293=""),"",IF(OR(G293="Agreed",G293="Signed",G293="Invoiced",G293="Paid"),"Committed",IF(G293="Quoted","Pending",IF(G293="Rejected","Excluded","Check status"))))</f>
        <v/>
      </c>
    </row>
    <row r="294">
      <c r="A294" s="14" t="n"/>
      <c r="B294" s="39" t="n"/>
      <c r="C294" s="14" t="n"/>
      <c r="D294" s="14" t="n"/>
      <c r="E294" s="14" t="n"/>
      <c r="F294" s="16" t="n"/>
      <c r="G294" s="14" t="n"/>
      <c r="H294" s="14" t="n"/>
      <c r="I294" s="14" t="n"/>
      <c r="J294" s="11">
        <f>IF(AND(F294="",G294=""),"",IF(OR(G294="Agreed",G294="Signed",G294="Invoiced",G294="Paid"),"Committed",IF(G294="Quoted","Pending",IF(G294="Rejected","Excluded","Check status"))))</f>
        <v/>
      </c>
    </row>
    <row r="295">
      <c r="A295" s="14" t="n"/>
      <c r="B295" s="39" t="n"/>
      <c r="C295" s="14" t="n"/>
      <c r="D295" s="14" t="n"/>
      <c r="E295" s="14" t="n"/>
      <c r="F295" s="16" t="n"/>
      <c r="G295" s="14" t="n"/>
      <c r="H295" s="14" t="n"/>
      <c r="I295" s="14" t="n"/>
      <c r="J295" s="11">
        <f>IF(AND(F295="",G295=""),"",IF(OR(G295="Agreed",G295="Signed",G295="Invoiced",G295="Paid"),"Committed",IF(G295="Quoted","Pending",IF(G295="Rejected","Excluded","Check status"))))</f>
        <v/>
      </c>
    </row>
    <row r="296">
      <c r="A296" s="14" t="n"/>
      <c r="B296" s="39" t="n"/>
      <c r="C296" s="14" t="n"/>
      <c r="D296" s="14" t="n"/>
      <c r="E296" s="14" t="n"/>
      <c r="F296" s="16" t="n"/>
      <c r="G296" s="14" t="n"/>
      <c r="H296" s="14" t="n"/>
      <c r="I296" s="14" t="n"/>
      <c r="J296" s="11">
        <f>IF(AND(F296="",G296=""),"",IF(OR(G296="Agreed",G296="Signed",G296="Invoiced",G296="Paid"),"Committed",IF(G296="Quoted","Pending",IF(G296="Rejected","Excluded","Check status"))))</f>
        <v/>
      </c>
    </row>
    <row r="297">
      <c r="A297" s="14" t="n"/>
      <c r="B297" s="39" t="n"/>
      <c r="C297" s="14" t="n"/>
      <c r="D297" s="14" t="n"/>
      <c r="E297" s="14" t="n"/>
      <c r="F297" s="16" t="n"/>
      <c r="G297" s="14" t="n"/>
      <c r="H297" s="14" t="n"/>
      <c r="I297" s="14" t="n"/>
      <c r="J297" s="11">
        <f>IF(AND(F297="",G297=""),"",IF(OR(G297="Agreed",G297="Signed",G297="Invoiced",G297="Paid"),"Committed",IF(G297="Quoted","Pending",IF(G297="Rejected","Excluded","Check status"))))</f>
        <v/>
      </c>
    </row>
    <row r="298">
      <c r="A298" s="14" t="n"/>
      <c r="B298" s="39" t="n"/>
      <c r="C298" s="14" t="n"/>
      <c r="D298" s="14" t="n"/>
      <c r="E298" s="14" t="n"/>
      <c r="F298" s="16" t="n"/>
      <c r="G298" s="14" t="n"/>
      <c r="H298" s="14" t="n"/>
      <c r="I298" s="14" t="n"/>
      <c r="J298" s="11">
        <f>IF(AND(F298="",G298=""),"",IF(OR(G298="Agreed",G298="Signed",G298="Invoiced",G298="Paid"),"Committed",IF(G298="Quoted","Pending",IF(G298="Rejected","Excluded","Check status"))))</f>
        <v/>
      </c>
    </row>
    <row r="299">
      <c r="A299" s="14" t="n"/>
      <c r="B299" s="39" t="n"/>
      <c r="C299" s="14" t="n"/>
      <c r="D299" s="14" t="n"/>
      <c r="E299" s="14" t="n"/>
      <c r="F299" s="16" t="n"/>
      <c r="G299" s="14" t="n"/>
      <c r="H299" s="14" t="n"/>
      <c r="I299" s="14" t="n"/>
      <c r="J299" s="11">
        <f>IF(AND(F299="",G299=""),"",IF(OR(G299="Agreed",G299="Signed",G299="Invoiced",G299="Paid"),"Committed",IF(G299="Quoted","Pending",IF(G299="Rejected","Excluded","Check status"))))</f>
        <v/>
      </c>
    </row>
    <row r="300">
      <c r="A300" s="14" t="n"/>
      <c r="B300" s="39" t="n"/>
      <c r="C300" s="14" t="n"/>
      <c r="D300" s="14" t="n"/>
      <c r="E300" s="14" t="n"/>
      <c r="F300" s="16" t="n"/>
      <c r="G300" s="14" t="n"/>
      <c r="H300" s="14" t="n"/>
      <c r="I300" s="14" t="n"/>
      <c r="J300" s="11">
        <f>IF(AND(F300="",G300=""),"",IF(OR(G300="Agreed",G300="Signed",G300="Invoiced",G300="Paid"),"Committed",IF(G300="Quoted","Pending",IF(G300="Rejected","Excluded","Check status"))))</f>
        <v/>
      </c>
    </row>
    <row r="301">
      <c r="A301" s="14" t="n"/>
      <c r="B301" s="39" t="n"/>
      <c r="C301" s="14" t="n"/>
      <c r="D301" s="14" t="n"/>
      <c r="E301" s="14" t="n"/>
      <c r="F301" s="16" t="n"/>
      <c r="G301" s="14" t="n"/>
      <c r="H301" s="14" t="n"/>
      <c r="I301" s="14" t="n"/>
      <c r="J301" s="11">
        <f>IF(AND(F301="",G301=""),"",IF(OR(G301="Agreed",G301="Signed",G301="Invoiced",G301="Paid"),"Committed",IF(G301="Quoted","Pending",IF(G301="Rejected","Excluded","Check status"))))</f>
        <v/>
      </c>
    </row>
    <row r="302">
      <c r="A302" s="14" t="n"/>
      <c r="B302" s="39" t="n"/>
      <c r="C302" s="14" t="n"/>
      <c r="D302" s="14" t="n"/>
      <c r="E302" s="14" t="n"/>
      <c r="F302" s="16" t="n"/>
      <c r="G302" s="14" t="n"/>
      <c r="H302" s="14" t="n"/>
      <c r="I302" s="14" t="n"/>
      <c r="J302" s="11">
        <f>IF(AND(F302="",G302=""),"",IF(OR(G302="Agreed",G302="Signed",G302="Invoiced",G302="Paid"),"Committed",IF(G302="Quoted","Pending",IF(G302="Rejected","Excluded","Check status"))))</f>
        <v/>
      </c>
    </row>
    <row r="303">
      <c r="A303" s="14" t="n"/>
      <c r="B303" s="39" t="n"/>
      <c r="C303" s="14" t="n"/>
      <c r="D303" s="14" t="n"/>
      <c r="E303" s="14" t="n"/>
      <c r="F303" s="16" t="n"/>
      <c r="G303" s="14" t="n"/>
      <c r="H303" s="14" t="n"/>
      <c r="I303" s="14" t="n"/>
      <c r="J303" s="11">
        <f>IF(AND(F303="",G303=""),"",IF(OR(G303="Agreed",G303="Signed",G303="Invoiced",G303="Paid"),"Committed",IF(G303="Quoted","Pending",IF(G303="Rejected","Excluded","Check status"))))</f>
        <v/>
      </c>
    </row>
    <row r="304">
      <c r="A304" s="14" t="n"/>
      <c r="B304" s="39" t="n"/>
      <c r="C304" s="14" t="n"/>
      <c r="D304" s="14" t="n"/>
      <c r="E304" s="14" t="n"/>
      <c r="F304" s="16" t="n"/>
      <c r="G304" s="14" t="n"/>
      <c r="H304" s="14" t="n"/>
      <c r="I304" s="14" t="n"/>
      <c r="J304" s="11">
        <f>IF(AND(F304="",G304=""),"",IF(OR(G304="Agreed",G304="Signed",G304="Invoiced",G304="Paid"),"Committed",IF(G304="Quoted","Pending",IF(G304="Rejected","Excluded","Check status"))))</f>
        <v/>
      </c>
    </row>
    <row r="305">
      <c r="A305" s="14" t="n"/>
      <c r="B305" s="39" t="n"/>
      <c r="C305" s="14" t="n"/>
      <c r="D305" s="14" t="n"/>
      <c r="E305" s="14" t="n"/>
      <c r="F305" s="16" t="n"/>
      <c r="G305" s="14" t="n"/>
      <c r="H305" s="14" t="n"/>
      <c r="I305" s="14" t="n"/>
      <c r="J305" s="11">
        <f>IF(AND(F305="",G305=""),"",IF(OR(G305="Agreed",G305="Signed",G305="Invoiced",G305="Paid"),"Committed",IF(G305="Quoted","Pending",IF(G305="Rejected","Excluded","Check status"))))</f>
        <v/>
      </c>
    </row>
  </sheetData>
  <conditionalFormatting sqref="J6:J305">
    <cfRule type="expression" priority="1" dxfId="0">
      <formula>J6="Check status"</formula>
    </cfRule>
  </conditionalFormatting>
  <conditionalFormatting sqref="C6:C305">
    <cfRule type="expression" priority="2" dxfId="0">
      <formula>AND(F6&lt;&gt;"",C6="")</formula>
    </cfRule>
  </conditionalFormatting>
  <dataValidations count="3">
    <dataValidation sqref="C6:C305" showDropDown="0" showInputMessage="0" showErrorMessage="0" allowBlank="1" error="Pick from the list." type="list" errorStyle="warning">
      <formula1>=Register!$B$8:$B$35</formula1>
    </dataValidation>
    <dataValidation sqref="D6:D305" showDropDown="0" showInputMessage="0" showErrorMessage="0" allowBlank="1" error="Pick from the list." type="list" errorStyle="warning">
      <formula1>"Variation,PS adjustment,PC adjustment,Owner-supplied,Extra outside contract"</formula1>
    </dataValidation>
    <dataValidation sqref="G6:G305" showDropDown="0" showInputMessage="0" showErrorMessage="0" allowBlank="1" error="Pick from the list." type="list" errorStyle="warning">
      <formula1>"Quoted,Agreed,Signed,Invoiced,Paid,Rejected"</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L2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9" customWidth="1" min="3" max="3"/>
    <col width="13" customWidth="1" min="4" max="4"/>
    <col width="12" customWidth="1" min="5" max="5"/>
    <col width="12" customWidth="1" min="6" max="6"/>
    <col width="15" customWidth="1" min="7" max="7"/>
    <col width="12" customWidth="1" min="8" max="8"/>
    <col width="13" customWidth="1" min="9" max="9"/>
    <col width="9" customWidth="1" min="10" max="10"/>
    <col width="13" customWidth="1" min="11" max="11"/>
    <col width="22" customWidth="1" min="12" max="12"/>
  </cols>
  <sheetData>
    <row r="1" ht="24" customHeight="1">
      <c r="A1" s="1" t="inlineStr">
        <is>
          <t>Allowances: tracking PC items and PSs until they're closed</t>
        </is>
      </c>
    </row>
    <row r="2">
      <c r="A2" s="2" t="inlineStr">
        <is>
          <t>Chapter 3.7. Items come from the Cost plan. The builder's margin applies only to overruns; under-runs are credits. Your contract sets the margin.</t>
        </is>
      </c>
    </row>
    <row r="4" ht="44" customHeight="1">
      <c r="A4" s="10" t="inlineStr">
        <is>
          <t>Ref</t>
        </is>
      </c>
      <c r="B4" s="10" t="inlineStr">
        <is>
          <t>Item</t>
        </is>
      </c>
      <c r="C4" s="10" t="inlineStr">
        <is>
          <t>Type</t>
        </is>
      </c>
      <c r="D4" s="10" t="inlineStr">
        <is>
          <t>Allowance</t>
        </is>
      </c>
      <c r="E4" s="10" t="inlineStr">
        <is>
          <t>Selection quantity</t>
        </is>
      </c>
      <c r="F4" s="10" t="inlineStr">
        <is>
          <t>Selection rate</t>
        </is>
      </c>
      <c r="G4" s="10" t="inlineStr">
        <is>
          <t>Your selection or actual cost</t>
        </is>
      </c>
      <c r="H4" s="10" t="inlineStr">
        <is>
          <t>Builder's margin on overrun</t>
        </is>
      </c>
      <c r="I4" s="10" t="inlineStr">
        <is>
          <t>Adjustment</t>
        </is>
      </c>
      <c r="J4" s="10" t="inlineStr">
        <is>
          <t>Closed? (Y/N)</t>
        </is>
      </c>
      <c r="K4" s="10" t="inlineStr">
        <is>
          <t>In the Log (committed)</t>
        </is>
      </c>
      <c r="L4" s="10" t="inlineStr">
        <is>
          <t>Check</t>
        </is>
      </c>
    </row>
    <row r="5">
      <c r="A5" s="11">
        <f>IF('Cost plan'!A23="","",'Cost plan'!A23)</f>
        <v/>
      </c>
      <c r="B5" s="12">
        <f>IF('Cost plan'!B23="","",'Cost plan'!B23)</f>
        <v/>
      </c>
      <c r="C5" s="11">
        <f>IF(B5="","",'Cost plan'!F23&amp;"")</f>
        <v/>
      </c>
      <c r="D5" s="17">
        <f>IF(B5="","",N('Cost plan'!J23))</f>
        <v/>
      </c>
      <c r="E5" s="40" t="n"/>
      <c r="F5" s="16" t="n"/>
      <c r="G5" s="16" t="n">
        <v>5200</v>
      </c>
      <c r="H5" s="20" t="n">
        <v>0.1</v>
      </c>
      <c r="I5" s="19">
        <f>IF(OR(B5="",NOT(ISNUMBER(G5))),"",ROUND(IF(G5&gt;D5,(G5-D5)*(1+N(H5)),G5-D5),0))</f>
        <v/>
      </c>
      <c r="J5" s="41" t="inlineStr">
        <is>
          <t>Y</t>
        </is>
      </c>
      <c r="K5" s="17">
        <f>IF(B5="","",SUMIFS(Log!$F$6:$F$305,Log!$C$6:$C$305,B5,Log!$D$6:$D$305,"PC adjustment",Log!$J$6:$J$305,"Committed")+SUMIFS(Log!$F$6:$F$305,Log!$C$6:$C$305,B5,Log!$D$6:$D$305,"PS adjustment",Log!$J$6:$J$305,"Committed"))</f>
        <v/>
      </c>
      <c r="L5" s="11">
        <f>IF(B5="","",IF(I5="",IF(J5="Y","Closed with no cost entered","Open"),IF(ABS(I5-K5)&lt;1,"Matches the Log","Add or update it in the Log")))</f>
        <v/>
      </c>
    </row>
    <row r="6">
      <c r="A6" s="11">
        <f>IF('Cost plan'!A24="","",'Cost plan'!A24)</f>
        <v/>
      </c>
      <c r="B6" s="12">
        <f>IF('Cost plan'!B24="","",'Cost plan'!B24)</f>
        <v/>
      </c>
      <c r="C6" s="11">
        <f>IF(B6="","",'Cost plan'!F24&amp;"")</f>
        <v/>
      </c>
      <c r="D6" s="17">
        <f>IF(B6="","",N('Cost plan'!J24))</f>
        <v/>
      </c>
      <c r="E6" s="40" t="n">
        <v>90</v>
      </c>
      <c r="F6" s="16" t="n">
        <v>48</v>
      </c>
      <c r="G6" s="16">
        <f>IF(AND(ISNUMBER(E6),ISNUMBER(F6)),E6*F6,"")</f>
        <v/>
      </c>
      <c r="H6" s="20" t="n">
        <v>0.1</v>
      </c>
      <c r="I6" s="19">
        <f>IF(OR(B6="",NOT(ISNUMBER(G6))),"",ROUND(IF(G6&gt;D6,(G6-D6)*(1+N(H6)),G6-D6),0))</f>
        <v/>
      </c>
      <c r="J6" s="41" t="inlineStr">
        <is>
          <t>Y</t>
        </is>
      </c>
      <c r="K6" s="17">
        <f>IF(B6="","",SUMIFS(Log!$F$6:$F$305,Log!$C$6:$C$305,B6,Log!$D$6:$D$305,"PC adjustment",Log!$J$6:$J$305,"Committed")+SUMIFS(Log!$F$6:$F$305,Log!$C$6:$C$305,B6,Log!$D$6:$D$305,"PS adjustment",Log!$J$6:$J$305,"Committed"))</f>
        <v/>
      </c>
      <c r="L6" s="11">
        <f>IF(B6="","",IF(I6="",IF(J6="Y","Closed with no cost entered","Open"),IF(ABS(I6-K6)&lt;1,"Matches the Log","Add or update it in the Log")))</f>
        <v/>
      </c>
    </row>
    <row r="7">
      <c r="A7" s="11">
        <f>IF('Cost plan'!A25="","",'Cost plan'!A25)</f>
        <v/>
      </c>
      <c r="B7" s="12">
        <f>IF('Cost plan'!B25="","",'Cost plan'!B25)</f>
        <v/>
      </c>
      <c r="C7" s="11">
        <f>IF(B7="","",'Cost plan'!F25&amp;"")</f>
        <v/>
      </c>
      <c r="D7" s="17">
        <f>IF(B7="","",N('Cost plan'!J25))</f>
        <v/>
      </c>
      <c r="E7" s="40" t="n"/>
      <c r="F7" s="16" t="n"/>
      <c r="G7" s="16" t="n">
        <v>6800</v>
      </c>
      <c r="H7" s="20" t="n">
        <v>0.1</v>
      </c>
      <c r="I7" s="19">
        <f>IF(OR(B7="",NOT(ISNUMBER(G7))),"",ROUND(IF(G7&gt;D7,(G7-D7)*(1+N(H7)),G7-D7),0))</f>
        <v/>
      </c>
      <c r="J7" s="41" t="inlineStr">
        <is>
          <t>Y</t>
        </is>
      </c>
      <c r="K7" s="17">
        <f>IF(B7="","",SUMIFS(Log!$F$6:$F$305,Log!$C$6:$C$305,B7,Log!$D$6:$D$305,"PC adjustment",Log!$J$6:$J$305,"Committed")+SUMIFS(Log!$F$6:$F$305,Log!$C$6:$C$305,B7,Log!$D$6:$D$305,"PS adjustment",Log!$J$6:$J$305,"Committed"))</f>
        <v/>
      </c>
      <c r="L7" s="11">
        <f>IF(B7="","",IF(I7="",IF(J7="Y","Closed with no cost entered","Open"),IF(ABS(I7-K7)&lt;1,"Matches the Log","Add or update it in the Log")))</f>
        <v/>
      </c>
    </row>
    <row r="8">
      <c r="A8" s="11">
        <f>IF('Cost plan'!A26="","",'Cost plan'!A26)</f>
        <v/>
      </c>
      <c r="B8" s="12">
        <f>IF('Cost plan'!B26="","",'Cost plan'!B26)</f>
        <v/>
      </c>
      <c r="C8" s="11">
        <f>IF(B8="","",'Cost plan'!F26&amp;"")</f>
        <v/>
      </c>
      <c r="D8" s="17">
        <f>IF(B8="","",N('Cost plan'!J26))</f>
        <v/>
      </c>
      <c r="E8" s="40" t="n"/>
      <c r="F8" s="16" t="n"/>
      <c r="G8" s="16" t="n"/>
      <c r="H8" s="20" t="n">
        <v>0.1</v>
      </c>
      <c r="I8" s="19">
        <f>IF(OR(B8="",NOT(ISNUMBER(G8))),"",ROUND(IF(G8&gt;D8,(G8-D8)*(1+N(H8)),G8-D8),0))</f>
        <v/>
      </c>
      <c r="J8" s="41" t="inlineStr">
        <is>
          <t>N</t>
        </is>
      </c>
      <c r="K8" s="17">
        <f>IF(B8="","",SUMIFS(Log!$F$6:$F$305,Log!$C$6:$C$305,B8,Log!$D$6:$D$305,"PC adjustment",Log!$J$6:$J$305,"Committed")+SUMIFS(Log!$F$6:$F$305,Log!$C$6:$C$305,B8,Log!$D$6:$D$305,"PS adjustment",Log!$J$6:$J$305,"Committed"))</f>
        <v/>
      </c>
      <c r="L8" s="11">
        <f>IF(B8="","",IF(I8="",IF(J8="Y","Closed with no cost entered","Open"),IF(ABS(I8-K8)&lt;1,"Matches the Log","Add or update it in the Log")))</f>
        <v/>
      </c>
    </row>
    <row r="9">
      <c r="A9" s="11">
        <f>IF('Cost plan'!A27="","",'Cost plan'!A27)</f>
        <v/>
      </c>
      <c r="B9" s="12">
        <f>IF('Cost plan'!B27="","",'Cost plan'!B27)</f>
        <v/>
      </c>
      <c r="C9" s="11">
        <f>IF(B9="","",'Cost plan'!F27&amp;"")</f>
        <v/>
      </c>
      <c r="D9" s="17">
        <f>IF(B9="","",N('Cost plan'!J27))</f>
        <v/>
      </c>
      <c r="E9" s="40" t="n"/>
      <c r="F9" s="16" t="n"/>
      <c r="G9" s="16">
        <f>IF(AND(ISNUMBER(E9),ISNUMBER(F9)),E9*F9,"")</f>
        <v/>
      </c>
      <c r="H9" s="20" t="n"/>
      <c r="I9" s="19">
        <f>IF(OR(B9="",NOT(ISNUMBER(G9))),"",ROUND(IF(G9&gt;D9,(G9-D9)*(1+N(H9)),G9-D9),0))</f>
        <v/>
      </c>
      <c r="J9" s="41" t="n"/>
      <c r="K9" s="17">
        <f>IF(B9="","",SUMIFS(Log!$F$6:$F$305,Log!$C$6:$C$305,B9,Log!$D$6:$D$305,"PC adjustment",Log!$J$6:$J$305,"Committed")+SUMIFS(Log!$F$6:$F$305,Log!$C$6:$C$305,B9,Log!$D$6:$D$305,"PS adjustment",Log!$J$6:$J$305,"Committed"))</f>
        <v/>
      </c>
      <c r="L9" s="11">
        <f>IF(B9="","",IF(I9="",IF(J9="Y","Closed with no cost entered","Open"),IF(ABS(I9-K9)&lt;1,"Matches the Log","Add or update it in the Log")))</f>
        <v/>
      </c>
    </row>
    <row r="10">
      <c r="A10" s="11">
        <f>IF('Cost plan'!A28="","",'Cost plan'!A28)</f>
        <v/>
      </c>
      <c r="B10" s="12">
        <f>IF('Cost plan'!B28="","",'Cost plan'!B28)</f>
        <v/>
      </c>
      <c r="C10" s="11">
        <f>IF(B10="","",'Cost plan'!F28&amp;"")</f>
        <v/>
      </c>
      <c r="D10" s="17">
        <f>IF(B10="","",N('Cost plan'!J28))</f>
        <v/>
      </c>
      <c r="E10" s="40" t="n"/>
      <c r="F10" s="16" t="n"/>
      <c r="G10" s="16">
        <f>IF(AND(ISNUMBER(E10),ISNUMBER(F10)),E10*F10,"")</f>
        <v/>
      </c>
      <c r="H10" s="20" t="n"/>
      <c r="I10" s="19">
        <f>IF(OR(B10="",NOT(ISNUMBER(G10))),"",ROUND(IF(G10&gt;D10,(G10-D10)*(1+N(H10)),G10-D10),0))</f>
        <v/>
      </c>
      <c r="J10" s="41" t="n"/>
      <c r="K10" s="17">
        <f>IF(B10="","",SUMIFS(Log!$F$6:$F$305,Log!$C$6:$C$305,B10,Log!$D$6:$D$305,"PC adjustment",Log!$J$6:$J$305,"Committed")+SUMIFS(Log!$F$6:$F$305,Log!$C$6:$C$305,B10,Log!$D$6:$D$305,"PS adjustment",Log!$J$6:$J$305,"Committed"))</f>
        <v/>
      </c>
      <c r="L10" s="11">
        <f>IF(B10="","",IF(I10="",IF(J10="Y","Closed with no cost entered","Open"),IF(ABS(I10-K10)&lt;1,"Matches the Log","Add or update it in the Log")))</f>
        <v/>
      </c>
    </row>
    <row r="11">
      <c r="A11" s="11">
        <f>IF('Cost plan'!A29="","",'Cost plan'!A29)</f>
        <v/>
      </c>
      <c r="B11" s="12">
        <f>IF('Cost plan'!B29="","",'Cost plan'!B29)</f>
        <v/>
      </c>
      <c r="C11" s="11">
        <f>IF(B11="","",'Cost plan'!F29&amp;"")</f>
        <v/>
      </c>
      <c r="D11" s="17">
        <f>IF(B11="","",N('Cost plan'!J29))</f>
        <v/>
      </c>
      <c r="E11" s="40" t="n"/>
      <c r="F11" s="16" t="n"/>
      <c r="G11" s="16">
        <f>IF(AND(ISNUMBER(E11),ISNUMBER(F11)),E11*F11,"")</f>
        <v/>
      </c>
      <c r="H11" s="20" t="n"/>
      <c r="I11" s="19">
        <f>IF(OR(B11="",NOT(ISNUMBER(G11))),"",ROUND(IF(G11&gt;D11,(G11-D11)*(1+N(H11)),G11-D11),0))</f>
        <v/>
      </c>
      <c r="J11" s="41" t="n"/>
      <c r="K11" s="17">
        <f>IF(B11="","",SUMIFS(Log!$F$6:$F$305,Log!$C$6:$C$305,B11,Log!$D$6:$D$305,"PC adjustment",Log!$J$6:$J$305,"Committed")+SUMIFS(Log!$F$6:$F$305,Log!$C$6:$C$305,B11,Log!$D$6:$D$305,"PS adjustment",Log!$J$6:$J$305,"Committed"))</f>
        <v/>
      </c>
      <c r="L11" s="11">
        <f>IF(B11="","",IF(I11="",IF(J11="Y","Closed with no cost entered","Open"),IF(ABS(I11-K11)&lt;1,"Matches the Log","Add or update it in the Log")))</f>
        <v/>
      </c>
    </row>
    <row r="12">
      <c r="A12" s="11">
        <f>IF('Cost plan'!A30="","",'Cost plan'!A30)</f>
        <v/>
      </c>
      <c r="B12" s="12">
        <f>IF('Cost plan'!B30="","",'Cost plan'!B30)</f>
        <v/>
      </c>
      <c r="C12" s="11">
        <f>IF(B12="","",'Cost plan'!F30&amp;"")</f>
        <v/>
      </c>
      <c r="D12" s="17">
        <f>IF(B12="","",N('Cost plan'!J30))</f>
        <v/>
      </c>
      <c r="E12" s="40" t="n"/>
      <c r="F12" s="16" t="n"/>
      <c r="G12" s="16">
        <f>IF(AND(ISNUMBER(E12),ISNUMBER(F12)),E12*F12,"")</f>
        <v/>
      </c>
      <c r="H12" s="20" t="n"/>
      <c r="I12" s="19">
        <f>IF(OR(B12="",NOT(ISNUMBER(G12))),"",ROUND(IF(G12&gt;D12,(G12-D12)*(1+N(H12)),G12-D12),0))</f>
        <v/>
      </c>
      <c r="J12" s="41" t="n"/>
      <c r="K12" s="17">
        <f>IF(B12="","",SUMIFS(Log!$F$6:$F$305,Log!$C$6:$C$305,B12,Log!$D$6:$D$305,"PC adjustment",Log!$J$6:$J$305,"Committed")+SUMIFS(Log!$F$6:$F$305,Log!$C$6:$C$305,B12,Log!$D$6:$D$305,"PS adjustment",Log!$J$6:$J$305,"Committed"))</f>
        <v/>
      </c>
      <c r="L12" s="11">
        <f>IF(B12="","",IF(I12="",IF(J12="Y","Closed with no cost entered","Open"),IF(ABS(I12-K12)&lt;1,"Matches the Log","Add or update it in the Log")))</f>
        <v/>
      </c>
    </row>
    <row r="13">
      <c r="A13" s="11">
        <f>IF('Cost plan'!A31="","",'Cost plan'!A31)</f>
        <v/>
      </c>
      <c r="B13" s="12">
        <f>IF('Cost plan'!B31="","",'Cost plan'!B31)</f>
        <v/>
      </c>
      <c r="C13" s="11">
        <f>IF(B13="","",'Cost plan'!F31&amp;"")</f>
        <v/>
      </c>
      <c r="D13" s="17">
        <f>IF(B13="","",N('Cost plan'!J31))</f>
        <v/>
      </c>
      <c r="E13" s="40" t="n"/>
      <c r="F13" s="16" t="n"/>
      <c r="G13" s="16">
        <f>IF(AND(ISNUMBER(E13),ISNUMBER(F13)),E13*F13,"")</f>
        <v/>
      </c>
      <c r="H13" s="20" t="n"/>
      <c r="I13" s="19">
        <f>IF(OR(B13="",NOT(ISNUMBER(G13))),"",ROUND(IF(G13&gt;D13,(G13-D13)*(1+N(H13)),G13-D13),0))</f>
        <v/>
      </c>
      <c r="J13" s="41" t="n"/>
      <c r="K13" s="17">
        <f>IF(B13="","",SUMIFS(Log!$F$6:$F$305,Log!$C$6:$C$305,B13,Log!$D$6:$D$305,"PC adjustment",Log!$J$6:$J$305,"Committed")+SUMIFS(Log!$F$6:$F$305,Log!$C$6:$C$305,B13,Log!$D$6:$D$305,"PS adjustment",Log!$J$6:$J$305,"Committed"))</f>
        <v/>
      </c>
      <c r="L13" s="11">
        <f>IF(B13="","",IF(I13="",IF(J13="Y","Closed with no cost entered","Open"),IF(ABS(I13-K13)&lt;1,"Matches the Log","Add or update it in the Log")))</f>
        <v/>
      </c>
    </row>
    <row r="14">
      <c r="A14" s="11">
        <f>IF('Cost plan'!A32="","",'Cost plan'!A32)</f>
        <v/>
      </c>
      <c r="B14" s="12">
        <f>IF('Cost plan'!B32="","",'Cost plan'!B32)</f>
        <v/>
      </c>
      <c r="C14" s="11">
        <f>IF(B14="","",'Cost plan'!F32&amp;"")</f>
        <v/>
      </c>
      <c r="D14" s="17">
        <f>IF(B14="","",N('Cost plan'!J32))</f>
        <v/>
      </c>
      <c r="E14" s="40" t="n"/>
      <c r="F14" s="16" t="n"/>
      <c r="G14" s="16">
        <f>IF(AND(ISNUMBER(E14),ISNUMBER(F14)),E14*F14,"")</f>
        <v/>
      </c>
      <c r="H14" s="20" t="n"/>
      <c r="I14" s="19">
        <f>IF(OR(B14="",NOT(ISNUMBER(G14))),"",ROUND(IF(G14&gt;D14,(G14-D14)*(1+N(H14)),G14-D14),0))</f>
        <v/>
      </c>
      <c r="J14" s="41" t="n"/>
      <c r="K14" s="17">
        <f>IF(B14="","",SUMIFS(Log!$F$6:$F$305,Log!$C$6:$C$305,B14,Log!$D$6:$D$305,"PC adjustment",Log!$J$6:$J$305,"Committed")+SUMIFS(Log!$F$6:$F$305,Log!$C$6:$C$305,B14,Log!$D$6:$D$305,"PS adjustment",Log!$J$6:$J$305,"Committed"))</f>
        <v/>
      </c>
      <c r="L14" s="11">
        <f>IF(B14="","",IF(I14="",IF(J14="Y","Closed with no cost entered","Open"),IF(ABS(I14-K14)&lt;1,"Matches the Log","Add or update it in the Log")))</f>
        <v/>
      </c>
    </row>
    <row r="15">
      <c r="A15" s="11">
        <f>IF('Cost plan'!A33="","",'Cost plan'!A33)</f>
        <v/>
      </c>
      <c r="B15" s="12">
        <f>IF('Cost plan'!B33="","",'Cost plan'!B33)</f>
        <v/>
      </c>
      <c r="C15" s="11">
        <f>IF(B15="","",'Cost plan'!F33&amp;"")</f>
        <v/>
      </c>
      <c r="D15" s="17">
        <f>IF(B15="","",N('Cost plan'!J33))</f>
        <v/>
      </c>
      <c r="E15" s="40" t="n"/>
      <c r="F15" s="16" t="n"/>
      <c r="G15" s="16">
        <f>IF(AND(ISNUMBER(E15),ISNUMBER(F15)),E15*F15,"")</f>
        <v/>
      </c>
      <c r="H15" s="20" t="n"/>
      <c r="I15" s="19">
        <f>IF(OR(B15="",NOT(ISNUMBER(G15))),"",ROUND(IF(G15&gt;D15,(G15-D15)*(1+N(H15)),G15-D15),0))</f>
        <v/>
      </c>
      <c r="J15" s="41" t="n"/>
      <c r="K15" s="17">
        <f>IF(B15="","",SUMIFS(Log!$F$6:$F$305,Log!$C$6:$C$305,B15,Log!$D$6:$D$305,"PC adjustment",Log!$J$6:$J$305,"Committed")+SUMIFS(Log!$F$6:$F$305,Log!$C$6:$C$305,B15,Log!$D$6:$D$305,"PS adjustment",Log!$J$6:$J$305,"Committed"))</f>
        <v/>
      </c>
      <c r="L15" s="11">
        <f>IF(B15="","",IF(I15="",IF(J15="Y","Closed with no cost entered","Open"),IF(ABS(I15-K15)&lt;1,"Matches the Log","Add or update it in the Log")))</f>
        <v/>
      </c>
    </row>
    <row r="16">
      <c r="A16" s="11">
        <f>IF('Cost plan'!A34="","",'Cost plan'!A34)</f>
        <v/>
      </c>
      <c r="B16" s="12">
        <f>IF('Cost plan'!B34="","",'Cost plan'!B34)</f>
        <v/>
      </c>
      <c r="C16" s="11">
        <f>IF(B16="","",'Cost plan'!F34&amp;"")</f>
        <v/>
      </c>
      <c r="D16" s="17">
        <f>IF(B16="","",N('Cost plan'!J34))</f>
        <v/>
      </c>
      <c r="E16" s="40" t="n"/>
      <c r="F16" s="16" t="n"/>
      <c r="G16" s="16">
        <f>IF(AND(ISNUMBER(E16),ISNUMBER(F16)),E16*F16,"")</f>
        <v/>
      </c>
      <c r="H16" s="20" t="n"/>
      <c r="I16" s="19">
        <f>IF(OR(B16="",NOT(ISNUMBER(G16))),"",ROUND(IF(G16&gt;D16,(G16-D16)*(1+N(H16)),G16-D16),0))</f>
        <v/>
      </c>
      <c r="J16" s="41" t="n"/>
      <c r="K16" s="17">
        <f>IF(B16="","",SUMIFS(Log!$F$6:$F$305,Log!$C$6:$C$305,B16,Log!$D$6:$D$305,"PC adjustment",Log!$J$6:$J$305,"Committed")+SUMIFS(Log!$F$6:$F$305,Log!$C$6:$C$305,B16,Log!$D$6:$D$305,"PS adjustment",Log!$J$6:$J$305,"Committed"))</f>
        <v/>
      </c>
      <c r="L16" s="11">
        <f>IF(B16="","",IF(I16="",IF(J16="Y","Closed with no cost entered","Open"),IF(ABS(I16-K16)&lt;1,"Matches the Log","Add or update it in the Log")))</f>
        <v/>
      </c>
    </row>
    <row r="17">
      <c r="A17" s="32" t="inlineStr">
        <is>
          <t>Total adjustments</t>
        </is>
      </c>
      <c r="I17" s="33">
        <f>SUM(I5:I16)</f>
        <v/>
      </c>
      <c r="J17" s="34" t="n"/>
      <c r="K17" s="33">
        <f>SUM(K5:K16)</f>
        <v/>
      </c>
      <c r="L17" s="34" t="n"/>
    </row>
    <row r="19">
      <c r="A19" s="6" t="inlineStr">
        <is>
          <t>• Close PC items at selection: work out the adjustment and put it in the Log straight away. Don't wait for the builder's claim.</t>
        </is>
      </c>
    </row>
    <row r="20">
      <c r="A20" s="6" t="inlineStr">
        <is>
          <t>• Check the quantity. A tile allowance per square metre only works if the area is right; check it includes 8–10% for waste.</t>
        </is>
      </c>
    </row>
    <row r="21">
      <c r="A21" s="6" t="inlineStr">
        <is>
          <t>• Ask for the evidence on every PS: invoices, quotes, dockets and photos.</t>
        </is>
      </c>
    </row>
    <row r="22">
      <c r="A22" s="6" t="inlineStr">
        <is>
          <t>• Look for credits. If a PS comes in under the allowance, you should get a credit. The margin applies only to overruns.</t>
        </is>
      </c>
    </row>
  </sheetData>
  <mergeCells count="5">
    <mergeCell ref="A20:L20"/>
    <mergeCell ref="A19:L19"/>
    <mergeCell ref="A22:L22"/>
    <mergeCell ref="A21:L21"/>
    <mergeCell ref="A17:H17"/>
  </mergeCells>
  <conditionalFormatting sqref="L5:L16">
    <cfRule type="expression" priority="1" dxfId="0">
      <formula>OR(L5="Add or update it in the Log",L5="Closed with no cost entered")</formula>
    </cfRule>
    <cfRule type="expression" priority="2" dxfId="1">
      <formula>L5="Matches the Log"</formula>
    </cfRule>
  </conditionalFormatting>
  <dataValidations count="1">
    <dataValidation sqref="J5:J16" showDropDown="0" showInputMessage="0" showErrorMessage="0" allowBlank="1" error="Pick from the list." type="list" errorStyle="warning">
      <formula1>"Y,N"</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Q2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10" customWidth="1" min="3" max="3"/>
    <col width="11" customWidth="1" min="4" max="4"/>
    <col width="13" customWidth="1" min="5" max="5"/>
    <col width="10" customWidth="1" min="6" max="6"/>
    <col width="13" customWidth="1" min="7" max="7"/>
    <col width="14" customWidth="1" min="8" max="8"/>
    <col width="13" customWidth="1" min="9" max="9"/>
    <col width="12" customWidth="1" min="10" max="10"/>
    <col width="9" customWidth="1" min="11" max="11"/>
    <col width="13" customWidth="1" min="12" max="12"/>
    <col width="12" customWidth="1" min="13" max="13"/>
    <col width="13" customWidth="1" min="14" max="14"/>
    <col width="11" customWidth="1" min="15" max="15"/>
    <col width="12" customWidth="1" min="16" max="16"/>
    <col width="26" customWidth="1" min="17" max="17"/>
  </cols>
  <sheetData>
    <row r="1" ht="24" customHeight="1">
      <c r="A1" s="1" t="inlineStr">
        <is>
          <t>Progress claims: reconcile every claim before you pay</t>
        </is>
      </c>
    </row>
    <row r="2" ht="22" customHeight="1">
      <c r="A2" s="31">
        <f>IF(C14=0,"Fill in the Cost plan first: this sheet takes the contract price from there.",IF(OR(C23&gt;C22+0.00001,C24&gt;C22+0.00001),"WARNING: claims are running ahead of the work: "&amp;TEXT(MAX(C23,C24),"0.0%")&amp;" of the contract price claimed or paid in stage payments, but the schedule allows "&amp;TEXT(C22,"0%")&amp;" at "&amp;C21&amp;". Raise it in writing before you pay.",IF(C25&gt;C26+0.5,"WARNING: "&amp;TEXT(C25,"$#,##0")&amp;" of variations and adjustments claimed, but only "&amp;TEXT(C26,"$#,##0")&amp;" approved in your Log. Check each one before you pay.",IF(AND(ISNUMBER(C27),C27&lt;0),"WARNING: the amount still to be claimed ("&amp;TEXT(C19,"$#,##0")&amp;") is less than your cost to finish ("&amp;TEXT(C20,"$#,##0")&amp;"). Raise it before you pay.","OK: "&amp;TEXT(C23,"0%")&amp;" of the contract price claimed in stage payments at "&amp;C21&amp;" (schedule allows "&amp;TEXT(C22,"0%")&amp;"). Amount still to be claimed: "&amp;TEXT(C19,"$#,##0")&amp;"."))))</f>
        <v/>
      </c>
    </row>
    <row r="4" ht="58" customHeight="1">
      <c r="A4" s="10" t="inlineStr">
        <is>
          <t>Stage</t>
        </is>
      </c>
      <c r="B4" s="10" t="inlineStr">
        <is>
          <t>What should be finished</t>
        </is>
      </c>
      <c r="C4" s="10" t="inlineStr">
        <is>
          <t>Contract %</t>
        </is>
      </c>
      <c r="D4" s="10" t="inlineStr">
        <is>
          <t>Scheduled cumulative %</t>
        </is>
      </c>
      <c r="E4" s="10" t="inlineStr">
        <is>
          <t>Scheduled amount</t>
        </is>
      </c>
      <c r="F4" s="10" t="inlineStr">
        <is>
          <t>Stage reached? (Y/N)</t>
        </is>
      </c>
      <c r="G4" s="10" t="inlineStr">
        <is>
          <t>Stage amount claimed</t>
        </is>
      </c>
      <c r="H4" s="10" t="inlineStr">
        <is>
          <t>Variations and adjustments on this claim</t>
        </is>
      </c>
      <c r="I4" s="10" t="inlineStr">
        <is>
          <t>Total claimed</t>
        </is>
      </c>
      <c r="J4" s="10" t="inlineStr">
        <is>
          <t>Date claimed</t>
        </is>
      </c>
      <c r="K4" s="10" t="inlineStr">
        <is>
          <t>Checked? (Y/N)</t>
        </is>
      </c>
      <c r="L4" s="10" t="inlineStr">
        <is>
          <t>Amount paid</t>
        </is>
      </c>
      <c r="M4" s="10" t="inlineStr">
        <is>
          <t>Date paid</t>
        </is>
      </c>
      <c r="N4" s="10" t="inlineStr">
        <is>
          <t>Cumulative paid</t>
        </is>
      </c>
      <c r="O4" s="10" t="inlineStr">
        <is>
          <t>% of current price paid</t>
        </is>
      </c>
      <c r="P4" s="10" t="inlineStr">
        <is>
          <t>Cumulative stage claims %</t>
        </is>
      </c>
      <c r="Q4" s="10" t="inlineStr">
        <is>
          <t>Check</t>
        </is>
      </c>
    </row>
    <row r="5" ht="30" customHeight="1">
      <c r="A5" s="12" t="inlineStr">
        <is>
          <t>Deposit</t>
        </is>
      </c>
      <c r="B5" s="13" t="inlineStr">
        <is>
          <t>Contract signed</t>
        </is>
      </c>
      <c r="C5" s="20" t="n">
        <v>0.05</v>
      </c>
      <c r="D5" s="42">
        <f>SUM($C$5:C5)</f>
        <v/>
      </c>
      <c r="E5" s="17">
        <f>ROUND(C5*$C$14,0)</f>
        <v/>
      </c>
      <c r="F5" s="41" t="inlineStr">
        <is>
          <t>Y</t>
        </is>
      </c>
      <c r="G5" s="16" t="n">
        <v>24000</v>
      </c>
      <c r="H5" s="16" t="n"/>
      <c r="I5" s="17">
        <f>IF(AND(G5="",H5=""),"",N(G5)+N(H5))</f>
        <v/>
      </c>
      <c r="J5" s="39" t="n">
        <v>46055</v>
      </c>
      <c r="K5" s="41" t="inlineStr">
        <is>
          <t>Y</t>
        </is>
      </c>
      <c r="L5" s="16" t="n">
        <v>24000</v>
      </c>
      <c r="M5" s="39" t="n">
        <v>46056</v>
      </c>
      <c r="N5" s="17">
        <f>IF(L5="","",SUM($L$5:L5))</f>
        <v/>
      </c>
      <c r="O5" s="43">
        <f>IF(OR(L5="",$C$17=0),"",N5/$C$17)</f>
        <v/>
      </c>
      <c r="P5" s="43">
        <f>IF(OR(G5="",$C$14=0),"",SUM($G$5:G5)/$C$14)</f>
        <v/>
      </c>
      <c r="Q5" s="11">
        <f>IF(G5="","",IF(F5&lt;&gt;"Y","Stage not marked as reached",IF(ABS(G5-E5)&gt;0.5,"Claim differs from schedule",IF(K5&lt;&gt;"Y","Not checked yet",IF(L5="","Checked: not paid yet","OK")))))</f>
        <v/>
      </c>
    </row>
    <row r="6" ht="30" customHeight="1">
      <c r="A6" s="12" t="inlineStr">
        <is>
          <t>Base</t>
        </is>
      </c>
      <c r="B6" s="13" t="inlineStr">
        <is>
          <t>Slab poured (or floor frame done)</t>
        </is>
      </c>
      <c r="C6" s="20" t="n">
        <v>0.15</v>
      </c>
      <c r="D6" s="42">
        <f>SUM($C$5:C6)</f>
        <v/>
      </c>
      <c r="E6" s="17">
        <f>ROUND(C6*$C$14,0)</f>
        <v/>
      </c>
      <c r="F6" s="41" t="inlineStr">
        <is>
          <t>Y</t>
        </is>
      </c>
      <c r="G6" s="16" t="n">
        <v>72000</v>
      </c>
      <c r="H6" s="16" t="n">
        <v>4180</v>
      </c>
      <c r="I6" s="17">
        <f>IF(AND(G6="",H6=""),"",N(G6)+N(H6))</f>
        <v/>
      </c>
      <c r="J6" s="39" t="n">
        <v>46118</v>
      </c>
      <c r="K6" s="41" t="inlineStr">
        <is>
          <t>Y</t>
        </is>
      </c>
      <c r="L6" s="16" t="n">
        <v>76180</v>
      </c>
      <c r="M6" s="39" t="n">
        <v>46122</v>
      </c>
      <c r="N6" s="17">
        <f>IF(L6="","",SUM($L$5:L6))</f>
        <v/>
      </c>
      <c r="O6" s="43">
        <f>IF(OR(L6="",$C$17=0),"",N6/$C$17)</f>
        <v/>
      </c>
      <c r="P6" s="43">
        <f>IF(OR(G6="",$C$14=0),"",SUM($G$5:G6)/$C$14)</f>
        <v/>
      </c>
      <c r="Q6" s="11">
        <f>IF(G6="","",IF(F6&lt;&gt;"Y","Stage not marked as reached",IF(ABS(G6-E6)&gt;0.5,"Claim differs from schedule",IF(K6&lt;&gt;"Y","Not checked yet",IF(L6="","Checked: not paid yet","OK")))))</f>
        <v/>
      </c>
    </row>
    <row r="7" ht="30" customHeight="1">
      <c r="A7" s="12" t="inlineStr">
        <is>
          <t>Frame</t>
        </is>
      </c>
      <c r="B7" s="13" t="inlineStr">
        <is>
          <t>Wall and roof frames up, inspected</t>
        </is>
      </c>
      <c r="C7" s="20" t="n">
        <v>0.2</v>
      </c>
      <c r="D7" s="42">
        <f>SUM($C$5:C7)</f>
        <v/>
      </c>
      <c r="E7" s="17">
        <f>ROUND(C7*$C$14,0)</f>
        <v/>
      </c>
      <c r="F7" s="41" t="inlineStr">
        <is>
          <t>Y</t>
        </is>
      </c>
      <c r="G7" s="16" t="n">
        <v>96000</v>
      </c>
      <c r="H7" s="16" t="n">
        <v>4450</v>
      </c>
      <c r="I7" s="17">
        <f>IF(AND(G7="",H7=""),"",N(G7)+N(H7))</f>
        <v/>
      </c>
      <c r="J7" s="39" t="n">
        <v>46146</v>
      </c>
      <c r="K7" s="41" t="inlineStr">
        <is>
          <t>Y</t>
        </is>
      </c>
      <c r="L7" s="16" t="n">
        <v>100450</v>
      </c>
      <c r="M7" s="39" t="n">
        <v>46150</v>
      </c>
      <c r="N7" s="17">
        <f>IF(L7="","",SUM($L$5:L7))</f>
        <v/>
      </c>
      <c r="O7" s="43">
        <f>IF(OR(L7="",$C$17=0),"",N7/$C$17)</f>
        <v/>
      </c>
      <c r="P7" s="43">
        <f>IF(OR(G7="",$C$14=0),"",SUM($G$5:G7)/$C$14)</f>
        <v/>
      </c>
      <c r="Q7" s="11">
        <f>IF(G7="","",IF(F7&lt;&gt;"Y","Stage not marked as reached",IF(ABS(G7-E7)&gt;0.5,"Claim differs from schedule",IF(K7&lt;&gt;"Y","Not checked yet",IF(L7="","Checked: not paid yet","OK")))))</f>
        <v/>
      </c>
    </row>
    <row r="8" ht="30" customHeight="1">
      <c r="A8" s="12" t="inlineStr">
        <is>
          <t>Enclosed (lock-up)</t>
        </is>
      </c>
      <c r="B8" s="13" t="inlineStr">
        <is>
          <t>Roof, external walls, windows and external doors in</t>
        </is>
      </c>
      <c r="C8" s="20" t="n">
        <v>0.25</v>
      </c>
      <c r="D8" s="42">
        <f>SUM($C$5:C8)</f>
        <v/>
      </c>
      <c r="E8" s="17">
        <f>ROUND(C8*$C$14,0)</f>
        <v/>
      </c>
      <c r="F8" s="41" t="n"/>
      <c r="G8" s="16" t="n"/>
      <c r="H8" s="16" t="n"/>
      <c r="I8" s="17">
        <f>IF(AND(G8="",H8=""),"",N(G8)+N(H8))</f>
        <v/>
      </c>
      <c r="J8" s="39" t="n"/>
      <c r="K8" s="41" t="n"/>
      <c r="L8" s="16" t="n"/>
      <c r="M8" s="39" t="n"/>
      <c r="N8" s="17">
        <f>IF(L8="","",SUM($L$5:L8))</f>
        <v/>
      </c>
      <c r="O8" s="43">
        <f>IF(OR(L8="",$C$17=0),"",N8/$C$17)</f>
        <v/>
      </c>
      <c r="P8" s="43">
        <f>IF(OR(G8="",$C$14=0),"",SUM($G$5:G8)/$C$14)</f>
        <v/>
      </c>
      <c r="Q8" s="11">
        <f>IF(G8="","",IF(F8&lt;&gt;"Y","Stage not marked as reached",IF(ABS(G8-E8)&gt;0.5,"Claim differs from schedule",IF(K8&lt;&gt;"Y","Not checked yet",IF(L8="","Checked: not paid yet","OK")))))</f>
        <v/>
      </c>
    </row>
    <row r="9" ht="30" customHeight="1">
      <c r="A9" s="12" t="inlineStr">
        <is>
          <t>Fixing</t>
        </is>
      </c>
      <c r="B9" s="13" t="inlineStr">
        <is>
          <t>Internal linings, cabinets, doors, architraves, skirtings</t>
        </is>
      </c>
      <c r="C9" s="20" t="n">
        <v>0.2</v>
      </c>
      <c r="D9" s="42">
        <f>SUM($C$5:C9)</f>
        <v/>
      </c>
      <c r="E9" s="17">
        <f>ROUND(C9*$C$14,0)</f>
        <v/>
      </c>
      <c r="F9" s="41" t="n"/>
      <c r="G9" s="16" t="n"/>
      <c r="H9" s="16" t="n"/>
      <c r="I9" s="17">
        <f>IF(AND(G9="",H9=""),"",N(G9)+N(H9))</f>
        <v/>
      </c>
      <c r="J9" s="39" t="n"/>
      <c r="K9" s="41" t="n"/>
      <c r="L9" s="16" t="n"/>
      <c r="M9" s="39" t="n"/>
      <c r="N9" s="17">
        <f>IF(L9="","",SUM($L$5:L9))</f>
        <v/>
      </c>
      <c r="O9" s="43">
        <f>IF(OR(L9="",$C$17=0),"",N9/$C$17)</f>
        <v/>
      </c>
      <c r="P9" s="43">
        <f>IF(OR(G9="",$C$14=0),"",SUM($G$5:G9)/$C$14)</f>
        <v/>
      </c>
      <c r="Q9" s="11">
        <f>IF(G9="","",IF(F9&lt;&gt;"Y","Stage not marked as reached",IF(ABS(G9-E9)&gt;0.5,"Claim differs from schedule",IF(K9&lt;&gt;"Y","Not checked yet",IF(L9="","Checked: not paid yet","OK")))))</f>
        <v/>
      </c>
    </row>
    <row r="10" ht="30" customHeight="1">
      <c r="A10" s="12" t="inlineStr">
        <is>
          <t>Practical completion</t>
        </is>
      </c>
      <c r="B10" s="13" t="inlineStr">
        <is>
          <t>Finished and ready to hand over</t>
        </is>
      </c>
      <c r="C10" s="20" t="n">
        <v>0.15</v>
      </c>
      <c r="D10" s="42">
        <f>SUM($C$5:C10)</f>
        <v/>
      </c>
      <c r="E10" s="17">
        <f>ROUND(C10*$C$14,0)</f>
        <v/>
      </c>
      <c r="F10" s="41" t="n"/>
      <c r="G10" s="16" t="n"/>
      <c r="H10" s="16" t="n"/>
      <c r="I10" s="17">
        <f>IF(AND(G10="",H10=""),"",N(G10)+N(H10))</f>
        <v/>
      </c>
      <c r="J10" s="39" t="n"/>
      <c r="K10" s="41" t="n"/>
      <c r="L10" s="16" t="n"/>
      <c r="M10" s="39" t="n"/>
      <c r="N10" s="17">
        <f>IF(L10="","",SUM($L$5:L10))</f>
        <v/>
      </c>
      <c r="O10" s="43">
        <f>IF(OR(L10="",$C$17=0),"",N10/$C$17)</f>
        <v/>
      </c>
      <c r="P10" s="43">
        <f>IF(OR(G10="",$C$14=0),"",SUM($G$5:G10)/$C$14)</f>
        <v/>
      </c>
      <c r="Q10" s="11">
        <f>IF(G10="","",IF(F10&lt;&gt;"Y","Stage not marked as reached",IF(ABS(G10-E10)&gt;0.5,"Claim differs from schedule",IF(K10&lt;&gt;"Y","Not checked yet",IF(L10="","Checked: not paid yet","OK")))))</f>
        <v/>
      </c>
    </row>
    <row r="11">
      <c r="A11" s="8" t="inlineStr">
        <is>
          <t>Totals</t>
        </is>
      </c>
      <c r="B11" s="44">
        <f>IF(ABS(C11-1)&gt;0.0001,"Check: the percentages add up to "&amp;TEXT(C11,"0%")&amp;", not 100%","")</f>
        <v/>
      </c>
      <c r="C11" s="45">
        <f>SUM(C5:C10)</f>
        <v/>
      </c>
      <c r="D11" s="34" t="n"/>
      <c r="E11" s="33">
        <f>SUM(E5:E10)</f>
        <v/>
      </c>
      <c r="F11" s="34" t="n"/>
      <c r="G11" s="33">
        <f>SUM(G5:G10)</f>
        <v/>
      </c>
      <c r="H11" s="33">
        <f>SUM(H5:H10)</f>
        <v/>
      </c>
      <c r="I11" s="33">
        <f>SUM(I5:I10)</f>
        <v/>
      </c>
      <c r="J11" s="34" t="n"/>
      <c r="K11" s="34" t="n"/>
      <c r="L11" s="33">
        <f>SUM(L5:L10)</f>
        <v/>
      </c>
      <c r="M11" s="34" t="n"/>
      <c r="N11" s="34" t="n"/>
      <c r="O11" s="34" t="n"/>
      <c r="P11" s="34" t="n"/>
      <c r="Q11" s="34" t="n"/>
    </row>
    <row r="13">
      <c r="A13" s="46" t="inlineStr">
        <is>
          <t>One-line reconciliation (3.9)</t>
        </is>
      </c>
    </row>
    <row r="14">
      <c r="A14" s="13" t="inlineStr">
        <is>
          <t>Original contract price (from the Cost plan)</t>
        </is>
      </c>
      <c r="B14" s="13" t="n"/>
      <c r="C14" s="17">
        <f>'Cost plan'!L39</f>
        <v/>
      </c>
      <c r="D14" s="23" t="n"/>
      <c r="F14" s="34" t="inlineStr">
        <is>
          <t>Contract price + approved variations ± PC/PS adjustments − total claimed to date (including this claim) = amount still to be claimed. Do this sum at every claim. The amount still to be claimed should be enough to finish the job. On the example schedule, once the frame stage is paid you've paid 40% and 60% remains. If more has been claimed than the schedule allows for the stage actually reached, payments are running ahead of the work: raise it in writing before you pay, and follow your contract's dispute process.</t>
        </is>
      </c>
    </row>
    <row r="15">
      <c r="A15" s="13" t="inlineStr">
        <is>
          <t>+ Approved variations (from the Register)</t>
        </is>
      </c>
      <c r="B15" s="13" t="n"/>
      <c r="C15" s="17">
        <f>Register!F36</f>
        <v/>
      </c>
      <c r="D15" s="23" t="n"/>
    </row>
    <row r="16">
      <c r="A16" s="13" t="inlineStr">
        <is>
          <t>± PC/PS adjustments (from the Register)</t>
        </is>
      </c>
      <c r="B16" s="13" t="n"/>
      <c r="C16" s="17">
        <f>Register!G36</f>
        <v/>
      </c>
      <c r="D16" s="23" t="n"/>
    </row>
    <row r="17">
      <c r="A17" s="12" t="inlineStr">
        <is>
          <t xml:space="preserve"> = Current contract price</t>
        </is>
      </c>
      <c r="B17" s="13" t="n"/>
      <c r="C17" s="19">
        <f>C14+C15+C16</f>
        <v/>
      </c>
      <c r="D17" s="23" t="n"/>
    </row>
    <row r="18">
      <c r="A18" s="13" t="inlineStr">
        <is>
          <t>− Total claimed to date (including this claim)</t>
        </is>
      </c>
      <c r="B18" s="13" t="n"/>
      <c r="C18" s="17">
        <f>I11</f>
        <v/>
      </c>
      <c r="D18" s="23" t="n"/>
      <c r="F18" s="47" t="inlineStr">
        <is>
          <t>Before you pay a claim, check (3.9)</t>
        </is>
      </c>
    </row>
    <row r="19">
      <c r="A19" s="12" t="inlineStr">
        <is>
          <t xml:space="preserve"> = AMOUNT STILL TO BE CLAIMED</t>
        </is>
      </c>
      <c r="B19" s="13" t="n"/>
      <c r="C19" s="22">
        <f>C17-C18</f>
        <v/>
      </c>
      <c r="D19" s="23" t="n"/>
      <c r="F19" s="6" t="inlineStr">
        <is>
          <t>1. The stage is the right one, and the work for it is actually finished.</t>
        </is>
      </c>
    </row>
    <row r="20" ht="30" customHeight="1">
      <c r="A20" s="13" t="inlineStr">
        <is>
          <t>Your estimate of the cost to finish (value of the contract work still to do, plus unclaimed adjustments)</t>
        </is>
      </c>
      <c r="B20" s="13" t="n"/>
      <c r="C20" s="16" t="n">
        <v>290607</v>
      </c>
      <c r="F20" s="6" t="inlineStr">
        <is>
          <t>2. The claim equals the contract percentage of the current contract price.</t>
        </is>
      </c>
    </row>
    <row r="21">
      <c r="A21" s="13" t="inlineStr">
        <is>
          <t>Stage reached (last stage marked Y)</t>
        </is>
      </c>
      <c r="B21" s="13" t="n"/>
      <c r="C21" s="11">
        <f>IF(C22=0,"None yet",INDEX(A5:A10,MATCH(C22,D5:D10,0)))</f>
        <v/>
      </c>
      <c r="F21" s="6" t="inlineStr">
        <is>
          <t>3. Each variation on the claim matches a signed variation, at the agreed amount, and is due.</t>
        </is>
      </c>
    </row>
    <row r="22">
      <c r="A22" s="13" t="inlineStr">
        <is>
          <t>Scheduled cumulative % for the stage reached</t>
        </is>
      </c>
      <c r="B22" s="13" t="n"/>
      <c r="C22" s="43">
        <f>SUMPRODUCT(MAX((F5:F10="Y")*D5:D10))</f>
        <v/>
      </c>
      <c r="F22" s="6" t="inlineStr">
        <is>
          <t>4. PC and PS adjustments have evidence. Credits for under-runs appear.</t>
        </is>
      </c>
    </row>
    <row r="23">
      <c r="A23" s="13" t="inlineStr">
        <is>
          <t>Stage claims to date, % of contract price</t>
        </is>
      </c>
      <c r="B23" s="13" t="n"/>
      <c r="C23" s="43">
        <f>IF(C14=0,0,G11/C14)</f>
        <v/>
      </c>
      <c r="F23" s="6" t="inlineStr">
        <is>
          <t>5. Nothing is claimed twice: check against the Log and previous claims.</t>
        </is>
      </c>
    </row>
    <row r="24">
      <c r="A24" s="13" t="inlineStr">
        <is>
          <t>Stage payments to date, % of contract price</t>
        </is>
      </c>
      <c r="B24" s="13" t="n"/>
      <c r="C24" s="43">
        <f>IF(C14=0,0,SUMPRODUCT((L5:L10&gt;H5:H10)*(L5:L10-H5:H10))/C14)</f>
        <v/>
      </c>
      <c r="F24" s="6" t="inlineStr">
        <is>
          <t>6. The running total doesn't run ahead of the value of the work done.</t>
        </is>
      </c>
    </row>
    <row r="25">
      <c r="A25" s="13" t="inlineStr">
        <is>
          <t>Variations and adjustments claimed to date</t>
        </is>
      </c>
      <c r="B25" s="13" t="n"/>
      <c r="C25" s="17">
        <f>H11</f>
        <v/>
      </c>
    </row>
    <row r="26">
      <c r="A26" s="13" t="inlineStr">
        <is>
          <t>Approved variations and PC/PS adjustments (Register)</t>
        </is>
      </c>
      <c r="B26" s="13" t="n"/>
      <c r="C26" s="17">
        <f>C15+C16</f>
        <v/>
      </c>
    </row>
    <row r="27">
      <c r="A27" s="13" t="inlineStr">
        <is>
          <t>Amount still to be claimed − your cost to finish</t>
        </is>
      </c>
      <c r="B27" s="13" t="n"/>
      <c r="C27" s="17">
        <f>IF(C20="","",C19-C20)</f>
        <v/>
      </c>
    </row>
  </sheetData>
  <mergeCells count="36">
    <mergeCell ref="A24:B24"/>
    <mergeCell ref="F24:Q24"/>
    <mergeCell ref="F20:Q20"/>
    <mergeCell ref="A15:B15"/>
    <mergeCell ref="C24:D24"/>
    <mergeCell ref="C15:D15"/>
    <mergeCell ref="C14:D14"/>
    <mergeCell ref="C26:D26"/>
    <mergeCell ref="C20:D20"/>
    <mergeCell ref="A16:B16"/>
    <mergeCell ref="F23:Q23"/>
    <mergeCell ref="C16:D16"/>
    <mergeCell ref="A25:B25"/>
    <mergeCell ref="C25:D25"/>
    <mergeCell ref="F22:Q22"/>
    <mergeCell ref="C22:D22"/>
    <mergeCell ref="A18:B18"/>
    <mergeCell ref="A27:B27"/>
    <mergeCell ref="A26:B26"/>
    <mergeCell ref="A21:B21"/>
    <mergeCell ref="C21:D21"/>
    <mergeCell ref="C27:D27"/>
    <mergeCell ref="F14:Q16"/>
    <mergeCell ref="A2:Q2"/>
    <mergeCell ref="A14:B14"/>
    <mergeCell ref="A17:B17"/>
    <mergeCell ref="A23:B23"/>
    <mergeCell ref="C17:D17"/>
    <mergeCell ref="C23:D23"/>
    <mergeCell ref="A22:B22"/>
    <mergeCell ref="A20:B20"/>
    <mergeCell ref="A19:B19"/>
    <mergeCell ref="F19:Q19"/>
    <mergeCell ref="C19:D19"/>
    <mergeCell ref="C18:D18"/>
    <mergeCell ref="F21:Q21"/>
  </mergeCells>
  <conditionalFormatting sqref="B11">
    <cfRule type="expression" priority="1" dxfId="0">
      <formula>LEFT($B$11,5)="Check"</formula>
    </cfRule>
  </conditionalFormatting>
  <conditionalFormatting sqref="Q5:Q10">
    <cfRule type="expression" priority="2" dxfId="0">
      <formula>OR(Q5="Stage not marked as reached",Q5="Claim differs from schedule")</formula>
    </cfRule>
  </conditionalFormatting>
  <conditionalFormatting sqref="P5:P10">
    <cfRule type="expression" priority="3" dxfId="0">
      <formula>AND(ISNUMBER(P5),P5&gt;$C$22+0.00001)</formula>
    </cfRule>
  </conditionalFormatting>
  <conditionalFormatting sqref="C23">
    <cfRule type="expression" priority="4" dxfId="0">
      <formula>$C$23&gt;$C$22+0.00001</formula>
    </cfRule>
  </conditionalFormatting>
  <conditionalFormatting sqref="C24">
    <cfRule type="expression" priority="5" dxfId="0">
      <formula>$C$24&gt;$C$22+0.00001</formula>
    </cfRule>
  </conditionalFormatting>
  <conditionalFormatting sqref="C25">
    <cfRule type="expression" priority="6" dxfId="0">
      <formula>$C$25&gt;$C$26+0.5</formula>
    </cfRule>
  </conditionalFormatting>
  <conditionalFormatting sqref="C27">
    <cfRule type="expression" priority="7" dxfId="0">
      <formula>AND(ISNUMBER($C$27),$C$27&lt;0)</formula>
    </cfRule>
  </conditionalFormatting>
  <conditionalFormatting sqref="A2:Q2">
    <cfRule type="expression" priority="8" dxfId="0">
      <formula>LEFT($A$2,7)="WARNING"</formula>
    </cfRule>
    <cfRule type="expression" priority="9" dxfId="1">
      <formula>LEFT($A$2,2)="OK"</formula>
    </cfRule>
  </conditionalFormatting>
  <dataValidations count="2">
    <dataValidation sqref="F5:F10" showDropDown="0" showInputMessage="0" showErrorMessage="0" allowBlank="1" error="Pick from the list." type="list" errorStyle="warning">
      <formula1>"Y,N"</formula1>
    </dataValidation>
    <dataValidation sqref="K5:K10" showDropDown="0" showInputMessage="0" showErrorMessage="0" allowBlank="1" error="Pick from the list." type="list" errorStyle="warning">
      <formula1>"Y,N"</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M3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13" customWidth="1" min="3" max="3"/>
    <col width="34" customWidth="1" min="4" max="4"/>
    <col width="13" customWidth="1" min="5" max="5"/>
    <col width="12" customWidth="1" min="6" max="6"/>
    <col width="24" customWidth="1" min="7" max="7"/>
    <col width="13" customWidth="1" min="8" max="8"/>
    <col width="13" customWidth="1" min="9" max="9"/>
    <col width="14" customWidth="1" min="10" max="10"/>
    <col width="13" customWidth="1" min="11" max="11"/>
    <col width="13" customWidth="1" min="12" max="12"/>
    <col width="26" customWidth="1" min="13" max="13"/>
  </cols>
  <sheetData>
    <row r="1" ht="24" customHeight="1">
      <c r="A1" s="1" t="inlineStr">
        <is>
          <t>Cash flow: when the money has to be there</t>
        </is>
      </c>
    </row>
    <row r="2">
      <c r="A2" s="2" t="inlineStr">
        <is>
          <t>Chapter 3.8. Your money goes first. Variations, adjustments, owner-supplied items and extras are usually paid in cash.</t>
        </is>
      </c>
    </row>
    <row r="3">
      <c r="A3" s="12" t="inlineStr">
        <is>
          <t>Construction loan for the contract</t>
        </is>
      </c>
      <c r="B3" s="23" t="n"/>
      <c r="C3" s="16" t="n">
        <v>400000</v>
      </c>
      <c r="D3" s="12" t="inlineStr">
        <is>
          <t>Your cash share of the contract price (contract price − loan)</t>
        </is>
      </c>
      <c r="E3" s="19">
        <f>MAX(0,'Cost plan'!L39-N(C3))</f>
        <v/>
      </c>
      <c r="F3" s="48">
        <f>IF(N(C4)=0,"Enter your cash available (and the loan amount) to check it against what you need.",IF(E5&lt;N(C5),"WARNING: your cash falls to "&amp;TEXT(E5,"$#,##0")&amp;", below your buffer of "&amp;TEXT(N(C5),"$#,##0")&amp;". Act before the next claim arrives: talk to your lender, cut or defer something.","OK: your cash stays above your buffer. Lowest point: "&amp;TEXT(E5,"$#,##0")&amp;". Loan drawn: "&amp;TEXT(MAX(L8:L25),"$#,##0")&amp;" of "&amp;TEXT(N(C3),"$#,##0")&amp;"."))</f>
        <v/>
      </c>
    </row>
    <row r="4">
      <c r="A4" s="12" t="inlineStr">
        <is>
          <t>Your cash available (savings, deposit funds)</t>
        </is>
      </c>
      <c r="B4" s="23" t="n"/>
      <c r="C4" s="16" t="n">
        <v>163000</v>
      </c>
      <c r="D4" s="12" t="inlineStr">
        <is>
          <t>Peak cash needed from you</t>
        </is>
      </c>
      <c r="E4" s="19">
        <f>MAX(J8:J25)</f>
        <v/>
      </c>
    </row>
    <row r="5">
      <c r="A5" s="12" t="inlineStr">
        <is>
          <t>Buffer to keep (valuation delays, late claims)</t>
        </is>
      </c>
      <c r="B5" s="23" t="n"/>
      <c r="C5" s="16" t="n">
        <v>10000</v>
      </c>
      <c r="D5" s="12" t="inlineStr">
        <is>
          <t>Lowest cash left</t>
        </is>
      </c>
      <c r="E5" s="19">
        <f>IF(COUNT(K8:K25)=0,N(C4),MIN(K8:K25))</f>
        <v/>
      </c>
    </row>
    <row r="7" ht="32" customHeight="1">
      <c r="A7" s="10" t="inlineStr">
        <is>
          <t>Expected month</t>
        </is>
      </c>
      <c r="B7" s="10" t="inlineStr">
        <is>
          <t>Event</t>
        </is>
      </c>
      <c r="C7" s="10" t="inlineStr">
        <is>
          <t>Contract claim</t>
        </is>
      </c>
      <c r="D7" s="10" t="inlineStr">
        <is>
          <t>Other payments due</t>
        </is>
      </c>
      <c r="E7" s="10" t="inlineStr">
        <is>
          <t>Other payments amount</t>
        </is>
      </c>
      <c r="F7" s="10" t="inlineStr">
        <is>
          <t>Interest and rent</t>
        </is>
      </c>
      <c r="G7" s="10" t="inlineStr">
        <is>
          <t>Paid from</t>
        </is>
      </c>
      <c r="H7" s="10" t="inlineStr">
        <is>
          <t>Loan drawdown</t>
        </is>
      </c>
      <c r="I7" s="10" t="inlineStr">
        <is>
          <t>Cash needed from you</t>
        </is>
      </c>
      <c r="J7" s="10" t="inlineStr">
        <is>
          <t>Running cash needed</t>
        </is>
      </c>
      <c r="K7" s="10" t="inlineStr">
        <is>
          <t>Cash left</t>
        </is>
      </c>
      <c r="L7" s="10" t="inlineStr">
        <is>
          <t>Running loan drawn</t>
        </is>
      </c>
      <c r="M7" s="10" t="inlineStr">
        <is>
          <t>Notes</t>
        </is>
      </c>
    </row>
    <row r="8">
      <c r="A8" s="14" t="inlineStr">
        <is>
          <t>Month 0</t>
        </is>
      </c>
      <c r="B8" s="14" t="inlineStr">
        <is>
          <t>Contract signed: deposit</t>
        </is>
      </c>
      <c r="C8" s="16">
        <f>'Progress claims'!E5</f>
        <v/>
      </c>
      <c r="D8" s="14" t="inlineStr">
        <is>
          <t>Contract review, insurances</t>
        </is>
      </c>
      <c r="E8" s="16" t="n"/>
      <c r="F8" s="16" t="n"/>
      <c r="G8" s="11">
        <f>IF(AND(N(C8)=0,N(E8)=0,N(F8)=0),"",IF(N(C8)=0,"Your cash",IF(N(H8)=0,"Your cash",IF(H8&lt;C8,"Your cash first, then loan","Loan"))))</f>
        <v/>
      </c>
      <c r="H8" s="17">
        <f>IF(N(C8)=0,0,MIN(C8-MIN(C8,MAX(0,$E$3-(SUM(C$7:C7)-SUM(H$7:H7)))),MAX(0,N($C$3)-SUM(H$7:H7))))</f>
        <v/>
      </c>
      <c r="I8" s="19">
        <f>IF(AND(N(C8)=0,N(E8)=0,N(F8)=0),"",N(C8)-H8+N(E8)+N(F8))</f>
        <v/>
      </c>
      <c r="J8" s="17">
        <f>IF(AND(N(C8)=0,N(E8)=0,N(F8)=0),"",SUM(I$8:I8))</f>
        <v/>
      </c>
      <c r="K8" s="17">
        <f>IF(AND(N(C8)=0,N(E8)=0,N(F8)=0),"",N($C$4)-J8)</f>
        <v/>
      </c>
      <c r="L8" s="17">
        <f>IF(AND(N(C8)=0,N(E8)=0,N(F8)=0),"",SUM(H$8:H8))</f>
        <v/>
      </c>
      <c r="M8" s="14" t="inlineStr">
        <is>
          <t>Plus contract review and insurances</t>
        </is>
      </c>
    </row>
    <row r="9">
      <c r="A9" s="14" t="inlineStr">
        <is>
          <t>Month 2</t>
        </is>
      </c>
      <c r="B9" s="14" t="inlineStr">
        <is>
          <t>Base stage</t>
        </is>
      </c>
      <c r="C9" s="16">
        <f>'Progress claims'!E6</f>
        <v/>
      </c>
      <c r="D9" s="14" t="inlineStr">
        <is>
          <t>PS-01 rock (claimed now)</t>
        </is>
      </c>
      <c r="E9" s="16" t="n">
        <v>4180</v>
      </c>
      <c r="F9" s="16" t="n"/>
      <c r="G9" s="11">
        <f>IF(AND(N(C9)=0,N(E9)=0,N(F9)=0),"",IF(N(C9)=0,"Your cash",IF(N(H9)=0,"Your cash",IF(H9&lt;C9,"Your cash first, then loan","Loan"))))</f>
        <v/>
      </c>
      <c r="H9" s="17">
        <f>IF(N(C9)=0,0,MIN(C9-MIN(C9,MAX(0,$E$3-(SUM(C$7:C8)-SUM(H$7:H8)))),MAX(0,N($C$3)-SUM(H$7:H8))))</f>
        <v/>
      </c>
      <c r="I9" s="19">
        <f>IF(AND(N(C9)=0,N(E9)=0,N(F9)=0),"",N(C9)-H9+N(E9)+N(F9))</f>
        <v/>
      </c>
      <c r="J9" s="17">
        <f>IF(AND(N(C9)=0,N(E9)=0,N(F9)=0),"",SUM(I$8:I9))</f>
        <v/>
      </c>
      <c r="K9" s="17">
        <f>IF(AND(N(C9)=0,N(E9)=0,N(F9)=0),"",N($C$4)-J9)</f>
        <v/>
      </c>
      <c r="L9" s="17">
        <f>IF(AND(N(C9)=0,N(E9)=0,N(F9)=0),"",SUM(H$8:H9))</f>
        <v/>
      </c>
      <c r="M9" s="14" t="n"/>
    </row>
    <row r="10">
      <c r="A10" s="14" t="inlineStr">
        <is>
          <t>Month 3</t>
        </is>
      </c>
      <c r="B10" s="14" t="inlineStr">
        <is>
          <t>Frame stage</t>
        </is>
      </c>
      <c r="C10" s="16">
        <f>'Progress claims'!E7</f>
        <v/>
      </c>
      <c r="D10" s="14" t="inlineStr">
        <is>
          <t>Approved variations due</t>
        </is>
      </c>
      <c r="E10" s="16" t="n">
        <v>4450</v>
      </c>
      <c r="F10" s="16" t="n"/>
      <c r="G10" s="11">
        <f>IF(AND(N(C10)=0,N(E10)=0,N(F10)=0),"",IF(N(C10)=0,"Your cash",IF(N(H10)=0,"Your cash",IF(H10&lt;C10,"Your cash first, then loan","Loan"))))</f>
        <v/>
      </c>
      <c r="H10" s="17">
        <f>IF(N(C10)=0,0,MIN(C10-MIN(C10,MAX(0,$E$3-(SUM(C$7:C9)-SUM(H$7:H9)))),MAX(0,N($C$3)-SUM(H$7:H9))))</f>
        <v/>
      </c>
      <c r="I10" s="19">
        <f>IF(AND(N(C10)=0,N(E10)=0,N(F10)=0),"",N(C10)-H10+N(E10)+N(F10))</f>
        <v/>
      </c>
      <c r="J10" s="17">
        <f>IF(AND(N(C10)=0,N(E10)=0,N(F10)=0),"",SUM(I$8:I10))</f>
        <v/>
      </c>
      <c r="K10" s="17">
        <f>IF(AND(N(C10)=0,N(E10)=0,N(F10)=0),"",N($C$4)-J10)</f>
        <v/>
      </c>
      <c r="L10" s="17">
        <f>IF(AND(N(C10)=0,N(E10)=0,N(F10)=0),"",SUM(H$8:H10))</f>
        <v/>
      </c>
      <c r="M10" s="14" t="n"/>
    </row>
    <row r="11">
      <c r="A11" s="14" t="inlineStr">
        <is>
          <t>Month 4</t>
        </is>
      </c>
      <c r="B11" s="14" t="inlineStr">
        <is>
          <t>Enclosed (lock-up)</t>
        </is>
      </c>
      <c r="C11" s="16">
        <f>'Progress claims'!E8</f>
        <v/>
      </c>
      <c r="D11" s="14" t="n"/>
      <c r="E11" s="16" t="n"/>
      <c r="F11" s="16" t="n"/>
      <c r="G11" s="11">
        <f>IF(AND(N(C11)=0,N(E11)=0,N(F11)=0),"",IF(N(C11)=0,"Your cash",IF(N(H11)=0,"Your cash",IF(H11&lt;C11,"Your cash first, then loan","Loan"))))</f>
        <v/>
      </c>
      <c r="H11" s="17">
        <f>IF(N(C11)=0,0,MIN(C11-MIN(C11,MAX(0,$E$3-(SUM(C$7:C10)-SUM(H$7:H10)))),MAX(0,N($C$3)-SUM(H$7:H10))))</f>
        <v/>
      </c>
      <c r="I11" s="19">
        <f>IF(AND(N(C11)=0,N(E11)=0,N(F11)=0),"",N(C11)-H11+N(E11)+N(F11))</f>
        <v/>
      </c>
      <c r="J11" s="17">
        <f>IF(AND(N(C11)=0,N(E11)=0,N(F11)=0),"",SUM(I$8:I11))</f>
        <v/>
      </c>
      <c r="K11" s="17">
        <f>IF(AND(N(C11)=0,N(E11)=0,N(F11)=0),"",N($C$4)-J11)</f>
        <v/>
      </c>
      <c r="L11" s="17">
        <f>IF(AND(N(C11)=0,N(E11)=0,N(F11)=0),"",SUM(H$8:H11))</f>
        <v/>
      </c>
      <c r="M11" s="14" t="n"/>
    </row>
    <row r="12">
      <c r="A12" s="14" t="inlineStr">
        <is>
          <t>Month 5</t>
        </is>
      </c>
      <c r="B12" s="14" t="inlineStr">
        <is>
          <t>Fixing stage</t>
        </is>
      </c>
      <c r="C12" s="16">
        <f>'Progress claims'!E9</f>
        <v/>
      </c>
      <c r="D12" s="14" t="inlineStr">
        <is>
          <t>PC adjustments + owner-supplied items</t>
        </is>
      </c>
      <c r="E12" s="16" t="n">
        <v>5407</v>
      </c>
      <c r="F12" s="16" t="n"/>
      <c r="G12" s="11">
        <f>IF(AND(N(C12)=0,N(E12)=0,N(F12)=0),"",IF(N(C12)=0,"Your cash",IF(N(H12)=0,"Your cash",IF(H12&lt;C12,"Your cash first, then loan","Loan"))))</f>
        <v/>
      </c>
      <c r="H12" s="17">
        <f>IF(N(C12)=0,0,MIN(C12-MIN(C12,MAX(0,$E$3-(SUM(C$7:C11)-SUM(H$7:H11)))),MAX(0,N($C$3)-SUM(H$7:H11))))</f>
        <v/>
      </c>
      <c r="I12" s="19">
        <f>IF(AND(N(C12)=0,N(E12)=0,N(F12)=0),"",N(C12)-H12+N(E12)+N(F12))</f>
        <v/>
      </c>
      <c r="J12" s="17">
        <f>IF(AND(N(C12)=0,N(E12)=0,N(F12)=0),"",SUM(I$8:I12))</f>
        <v/>
      </c>
      <c r="K12" s="17">
        <f>IF(AND(N(C12)=0,N(E12)=0,N(F12)=0),"",N($C$4)-J12)</f>
        <v/>
      </c>
      <c r="L12" s="17">
        <f>IF(AND(N(C12)=0,N(E12)=0,N(F12)=0),"",SUM(H$8:H12))</f>
        <v/>
      </c>
      <c r="M12" s="14" t="n"/>
    </row>
    <row r="13">
      <c r="A13" s="14" t="inlineStr">
        <is>
          <t>Month 6</t>
        </is>
      </c>
      <c r="B13" s="14" t="inlineStr">
        <is>
          <t>Practical completion</t>
        </is>
      </c>
      <c r="C13" s="16">
        <f>'Progress claims'!E10</f>
        <v/>
      </c>
      <c r="D13" s="14" t="inlineStr">
        <is>
          <t>Final variations and adjustments</t>
        </is>
      </c>
      <c r="E13" s="16" t="n">
        <v>2263</v>
      </c>
      <c r="F13" s="16" t="n"/>
      <c r="G13" s="11">
        <f>IF(AND(N(C13)=0,N(E13)=0,N(F13)=0),"",IF(N(C13)=0,"Your cash",IF(N(H13)=0,"Your cash",IF(H13&lt;C13,"Your cash first, then loan","Loan"))))</f>
        <v/>
      </c>
      <c r="H13" s="17">
        <f>IF(N(C13)=0,0,MIN(C13-MIN(C13,MAX(0,$E$3-(SUM(C$7:C12)-SUM(H$7:H12)))),MAX(0,N($C$3)-SUM(H$7:H12))))</f>
        <v/>
      </c>
      <c r="I13" s="19">
        <f>IF(AND(N(C13)=0,N(E13)=0,N(F13)=0),"",N(C13)-H13+N(E13)+N(F13))</f>
        <v/>
      </c>
      <c r="J13" s="17">
        <f>IF(AND(N(C13)=0,N(E13)=0,N(F13)=0),"",SUM(I$8:I13))</f>
        <v/>
      </c>
      <c r="K13" s="17">
        <f>IF(AND(N(C13)=0,N(E13)=0,N(F13)=0),"",N($C$4)-J13)</f>
        <v/>
      </c>
      <c r="L13" s="17">
        <f>IF(AND(N(C13)=0,N(E13)=0,N(F13)=0),"",SUM(H$8:H13))</f>
        <v/>
      </c>
      <c r="M13" s="14" t="n"/>
    </row>
    <row r="14">
      <c r="A14" s="14" t="inlineStr">
        <is>
          <t>Month 6–7</t>
        </is>
      </c>
      <c r="B14" s="14" t="inlineStr">
        <is>
          <t>After handover</t>
        </is>
      </c>
      <c r="C14" s="16" t="n"/>
      <c r="D14" s="14" t="inlineStr">
        <is>
          <t>Driveway, fencing, blinds, landscaping</t>
        </is>
      </c>
      <c r="E14" s="16" t="n">
        <v>33000</v>
      </c>
      <c r="F14" s="16" t="n"/>
      <c r="G14" s="11">
        <f>IF(AND(N(C14)=0,N(E14)=0,N(F14)=0),"",IF(N(C14)=0,"Your cash",IF(N(H14)=0,"Your cash",IF(H14&lt;C14,"Your cash first, then loan","Loan"))))</f>
        <v/>
      </c>
      <c r="H14" s="17">
        <f>IF(N(C14)=0,0,MIN(C14-MIN(C14,MAX(0,$E$3-(SUM(C$7:C13)-SUM(H$7:H13)))),MAX(0,N($C$3)-SUM(H$7:H13))))</f>
        <v/>
      </c>
      <c r="I14" s="19">
        <f>IF(AND(N(C14)=0,N(E14)=0,N(F14)=0),"",N(C14)-H14+N(E14)+N(F14))</f>
        <v/>
      </c>
      <c r="J14" s="17">
        <f>IF(AND(N(C14)=0,N(E14)=0,N(F14)=0),"",SUM(I$8:I14))</f>
        <v/>
      </c>
      <c r="K14" s="17">
        <f>IF(AND(N(C14)=0,N(E14)=0,N(F14)=0),"",N($C$4)-J14)</f>
        <v/>
      </c>
      <c r="L14" s="17">
        <f>IF(AND(N(C14)=0,N(E14)=0,N(F14)=0),"",SUM(H$8:H14))</f>
        <v/>
      </c>
      <c r="M14" s="14" t="inlineStr">
        <is>
          <t>Extras outside the contract</t>
        </is>
      </c>
    </row>
    <row r="15">
      <c r="A15" s="14" t="n"/>
      <c r="B15" s="14" t="n"/>
      <c r="C15" s="16" t="n"/>
      <c r="D15" s="14" t="n"/>
      <c r="E15" s="16" t="n"/>
      <c r="F15" s="16" t="n"/>
      <c r="G15" s="11">
        <f>IF(AND(N(C15)=0,N(E15)=0,N(F15)=0),"",IF(N(C15)=0,"Your cash",IF(N(H15)=0,"Your cash",IF(H15&lt;C15,"Your cash first, then loan","Loan"))))</f>
        <v/>
      </c>
      <c r="H15" s="17">
        <f>IF(N(C15)=0,0,MIN(C15-MIN(C15,MAX(0,$E$3-(SUM(C$7:C14)-SUM(H$7:H14)))),MAX(0,N($C$3)-SUM(H$7:H14))))</f>
        <v/>
      </c>
      <c r="I15" s="19">
        <f>IF(AND(N(C15)=0,N(E15)=0,N(F15)=0),"",N(C15)-H15+N(E15)+N(F15))</f>
        <v/>
      </c>
      <c r="J15" s="17">
        <f>IF(AND(N(C15)=0,N(E15)=0,N(F15)=0),"",SUM(I$8:I15))</f>
        <v/>
      </c>
      <c r="K15" s="17">
        <f>IF(AND(N(C15)=0,N(E15)=0,N(F15)=0),"",N($C$4)-J15)</f>
        <v/>
      </c>
      <c r="L15" s="17">
        <f>IF(AND(N(C15)=0,N(E15)=0,N(F15)=0),"",SUM(H$8:H15))</f>
        <v/>
      </c>
      <c r="M15" s="14" t="n"/>
    </row>
    <row r="16">
      <c r="A16" s="14" t="n"/>
      <c r="B16" s="14" t="n"/>
      <c r="C16" s="16" t="n"/>
      <c r="D16" s="14" t="n"/>
      <c r="E16" s="16" t="n"/>
      <c r="F16" s="16" t="n"/>
      <c r="G16" s="11">
        <f>IF(AND(N(C16)=0,N(E16)=0,N(F16)=0),"",IF(N(C16)=0,"Your cash",IF(N(H16)=0,"Your cash",IF(H16&lt;C16,"Your cash first, then loan","Loan"))))</f>
        <v/>
      </c>
      <c r="H16" s="17">
        <f>IF(N(C16)=0,0,MIN(C16-MIN(C16,MAX(0,$E$3-(SUM(C$7:C15)-SUM(H$7:H15)))),MAX(0,N($C$3)-SUM(H$7:H15))))</f>
        <v/>
      </c>
      <c r="I16" s="19">
        <f>IF(AND(N(C16)=0,N(E16)=0,N(F16)=0),"",N(C16)-H16+N(E16)+N(F16))</f>
        <v/>
      </c>
      <c r="J16" s="17">
        <f>IF(AND(N(C16)=0,N(E16)=0,N(F16)=0),"",SUM(I$8:I16))</f>
        <v/>
      </c>
      <c r="K16" s="17">
        <f>IF(AND(N(C16)=0,N(E16)=0,N(F16)=0),"",N($C$4)-J16)</f>
        <v/>
      </c>
      <c r="L16" s="17">
        <f>IF(AND(N(C16)=0,N(E16)=0,N(F16)=0),"",SUM(H$8:H16))</f>
        <v/>
      </c>
      <c r="M16" s="14" t="n"/>
    </row>
    <row r="17">
      <c r="A17" s="14" t="n"/>
      <c r="B17" s="14" t="n"/>
      <c r="C17" s="16" t="n"/>
      <c r="D17" s="14" t="n"/>
      <c r="E17" s="16" t="n"/>
      <c r="F17" s="16" t="n"/>
      <c r="G17" s="11">
        <f>IF(AND(N(C17)=0,N(E17)=0,N(F17)=0),"",IF(N(C17)=0,"Your cash",IF(N(H17)=0,"Your cash",IF(H17&lt;C17,"Your cash first, then loan","Loan"))))</f>
        <v/>
      </c>
      <c r="H17" s="17">
        <f>IF(N(C17)=0,0,MIN(C17-MIN(C17,MAX(0,$E$3-(SUM(C$7:C16)-SUM(H$7:H16)))),MAX(0,N($C$3)-SUM(H$7:H16))))</f>
        <v/>
      </c>
      <c r="I17" s="19">
        <f>IF(AND(N(C17)=0,N(E17)=0,N(F17)=0),"",N(C17)-H17+N(E17)+N(F17))</f>
        <v/>
      </c>
      <c r="J17" s="17">
        <f>IF(AND(N(C17)=0,N(E17)=0,N(F17)=0),"",SUM(I$8:I17))</f>
        <v/>
      </c>
      <c r="K17" s="17">
        <f>IF(AND(N(C17)=0,N(E17)=0,N(F17)=0),"",N($C$4)-J17)</f>
        <v/>
      </c>
      <c r="L17" s="17">
        <f>IF(AND(N(C17)=0,N(E17)=0,N(F17)=0),"",SUM(H$8:H17))</f>
        <v/>
      </c>
      <c r="M17" s="14" t="n"/>
    </row>
    <row r="18">
      <c r="A18" s="14" t="n"/>
      <c r="B18" s="14" t="n"/>
      <c r="C18" s="16" t="n"/>
      <c r="D18" s="14" t="n"/>
      <c r="E18" s="16" t="n"/>
      <c r="F18" s="16" t="n"/>
      <c r="G18" s="11">
        <f>IF(AND(N(C18)=0,N(E18)=0,N(F18)=0),"",IF(N(C18)=0,"Your cash",IF(N(H18)=0,"Your cash",IF(H18&lt;C18,"Your cash first, then loan","Loan"))))</f>
        <v/>
      </c>
      <c r="H18" s="17">
        <f>IF(N(C18)=0,0,MIN(C18-MIN(C18,MAX(0,$E$3-(SUM(C$7:C17)-SUM(H$7:H17)))),MAX(0,N($C$3)-SUM(H$7:H17))))</f>
        <v/>
      </c>
      <c r="I18" s="19">
        <f>IF(AND(N(C18)=0,N(E18)=0,N(F18)=0),"",N(C18)-H18+N(E18)+N(F18))</f>
        <v/>
      </c>
      <c r="J18" s="17">
        <f>IF(AND(N(C18)=0,N(E18)=0,N(F18)=0),"",SUM(I$8:I18))</f>
        <v/>
      </c>
      <c r="K18" s="17">
        <f>IF(AND(N(C18)=0,N(E18)=0,N(F18)=0),"",N($C$4)-J18)</f>
        <v/>
      </c>
      <c r="L18" s="17">
        <f>IF(AND(N(C18)=0,N(E18)=0,N(F18)=0),"",SUM(H$8:H18))</f>
        <v/>
      </c>
      <c r="M18" s="14" t="n"/>
    </row>
    <row r="19">
      <c r="A19" s="14" t="n"/>
      <c r="B19" s="14" t="n"/>
      <c r="C19" s="16" t="n"/>
      <c r="D19" s="14" t="n"/>
      <c r="E19" s="16" t="n"/>
      <c r="F19" s="16" t="n"/>
      <c r="G19" s="11">
        <f>IF(AND(N(C19)=0,N(E19)=0,N(F19)=0),"",IF(N(C19)=0,"Your cash",IF(N(H19)=0,"Your cash",IF(H19&lt;C19,"Your cash first, then loan","Loan"))))</f>
        <v/>
      </c>
      <c r="H19" s="17">
        <f>IF(N(C19)=0,0,MIN(C19-MIN(C19,MAX(0,$E$3-(SUM(C$7:C18)-SUM(H$7:H18)))),MAX(0,N($C$3)-SUM(H$7:H18))))</f>
        <v/>
      </c>
      <c r="I19" s="19">
        <f>IF(AND(N(C19)=0,N(E19)=0,N(F19)=0),"",N(C19)-H19+N(E19)+N(F19))</f>
        <v/>
      </c>
      <c r="J19" s="17">
        <f>IF(AND(N(C19)=0,N(E19)=0,N(F19)=0),"",SUM(I$8:I19))</f>
        <v/>
      </c>
      <c r="K19" s="17">
        <f>IF(AND(N(C19)=0,N(E19)=0,N(F19)=0),"",N($C$4)-J19)</f>
        <v/>
      </c>
      <c r="L19" s="17">
        <f>IF(AND(N(C19)=0,N(E19)=0,N(F19)=0),"",SUM(H$8:H19))</f>
        <v/>
      </c>
      <c r="M19" s="14" t="n"/>
    </row>
    <row r="20">
      <c r="A20" s="14" t="n"/>
      <c r="B20" s="14" t="n"/>
      <c r="C20" s="16" t="n"/>
      <c r="D20" s="14" t="n"/>
      <c r="E20" s="16" t="n"/>
      <c r="F20" s="16" t="n"/>
      <c r="G20" s="11">
        <f>IF(AND(N(C20)=0,N(E20)=0,N(F20)=0),"",IF(N(C20)=0,"Your cash",IF(N(H20)=0,"Your cash",IF(H20&lt;C20,"Your cash first, then loan","Loan"))))</f>
        <v/>
      </c>
      <c r="H20" s="17">
        <f>IF(N(C20)=0,0,MIN(C20-MIN(C20,MAX(0,$E$3-(SUM(C$7:C19)-SUM(H$7:H19)))),MAX(0,N($C$3)-SUM(H$7:H19))))</f>
        <v/>
      </c>
      <c r="I20" s="19">
        <f>IF(AND(N(C20)=0,N(E20)=0,N(F20)=0),"",N(C20)-H20+N(E20)+N(F20))</f>
        <v/>
      </c>
      <c r="J20" s="17">
        <f>IF(AND(N(C20)=0,N(E20)=0,N(F20)=0),"",SUM(I$8:I20))</f>
        <v/>
      </c>
      <c r="K20" s="17">
        <f>IF(AND(N(C20)=0,N(E20)=0,N(F20)=0),"",N($C$4)-J20)</f>
        <v/>
      </c>
      <c r="L20" s="17">
        <f>IF(AND(N(C20)=0,N(E20)=0,N(F20)=0),"",SUM(H$8:H20))</f>
        <v/>
      </c>
      <c r="M20" s="14" t="n"/>
    </row>
    <row r="21">
      <c r="A21" s="14" t="n"/>
      <c r="B21" s="14" t="n"/>
      <c r="C21" s="16" t="n"/>
      <c r="D21" s="14" t="n"/>
      <c r="E21" s="16" t="n"/>
      <c r="F21" s="16" t="n"/>
      <c r="G21" s="11">
        <f>IF(AND(N(C21)=0,N(E21)=0,N(F21)=0),"",IF(N(C21)=0,"Your cash",IF(N(H21)=0,"Your cash",IF(H21&lt;C21,"Your cash first, then loan","Loan"))))</f>
        <v/>
      </c>
      <c r="H21" s="17">
        <f>IF(N(C21)=0,0,MIN(C21-MIN(C21,MAX(0,$E$3-(SUM(C$7:C20)-SUM(H$7:H20)))),MAX(0,N($C$3)-SUM(H$7:H20))))</f>
        <v/>
      </c>
      <c r="I21" s="19">
        <f>IF(AND(N(C21)=0,N(E21)=0,N(F21)=0),"",N(C21)-H21+N(E21)+N(F21))</f>
        <v/>
      </c>
      <c r="J21" s="17">
        <f>IF(AND(N(C21)=0,N(E21)=0,N(F21)=0),"",SUM(I$8:I21))</f>
        <v/>
      </c>
      <c r="K21" s="17">
        <f>IF(AND(N(C21)=0,N(E21)=0,N(F21)=0),"",N($C$4)-J21)</f>
        <v/>
      </c>
      <c r="L21" s="17">
        <f>IF(AND(N(C21)=0,N(E21)=0,N(F21)=0),"",SUM(H$8:H21))</f>
        <v/>
      </c>
      <c r="M21" s="14" t="n"/>
    </row>
    <row r="22">
      <c r="A22" s="14" t="n"/>
      <c r="B22" s="14" t="n"/>
      <c r="C22" s="16" t="n"/>
      <c r="D22" s="14" t="n"/>
      <c r="E22" s="16" t="n"/>
      <c r="F22" s="16" t="n"/>
      <c r="G22" s="11">
        <f>IF(AND(N(C22)=0,N(E22)=0,N(F22)=0),"",IF(N(C22)=0,"Your cash",IF(N(H22)=0,"Your cash",IF(H22&lt;C22,"Your cash first, then loan","Loan"))))</f>
        <v/>
      </c>
      <c r="H22" s="17">
        <f>IF(N(C22)=0,0,MIN(C22-MIN(C22,MAX(0,$E$3-(SUM(C$7:C21)-SUM(H$7:H21)))),MAX(0,N($C$3)-SUM(H$7:H21))))</f>
        <v/>
      </c>
      <c r="I22" s="19">
        <f>IF(AND(N(C22)=0,N(E22)=0,N(F22)=0),"",N(C22)-H22+N(E22)+N(F22))</f>
        <v/>
      </c>
      <c r="J22" s="17">
        <f>IF(AND(N(C22)=0,N(E22)=0,N(F22)=0),"",SUM(I$8:I22))</f>
        <v/>
      </c>
      <c r="K22" s="17">
        <f>IF(AND(N(C22)=0,N(E22)=0,N(F22)=0),"",N($C$4)-J22)</f>
        <v/>
      </c>
      <c r="L22" s="17">
        <f>IF(AND(N(C22)=0,N(E22)=0,N(F22)=0),"",SUM(H$8:H22))</f>
        <v/>
      </c>
      <c r="M22" s="14" t="n"/>
    </row>
    <row r="23">
      <c r="A23" s="14" t="n"/>
      <c r="B23" s="14" t="n"/>
      <c r="C23" s="16" t="n"/>
      <c r="D23" s="14" t="n"/>
      <c r="E23" s="16" t="n"/>
      <c r="F23" s="16" t="n"/>
      <c r="G23" s="11">
        <f>IF(AND(N(C23)=0,N(E23)=0,N(F23)=0),"",IF(N(C23)=0,"Your cash",IF(N(H23)=0,"Your cash",IF(H23&lt;C23,"Your cash first, then loan","Loan"))))</f>
        <v/>
      </c>
      <c r="H23" s="17">
        <f>IF(N(C23)=0,0,MIN(C23-MIN(C23,MAX(0,$E$3-(SUM(C$7:C22)-SUM(H$7:H22)))),MAX(0,N($C$3)-SUM(H$7:H22))))</f>
        <v/>
      </c>
      <c r="I23" s="19">
        <f>IF(AND(N(C23)=0,N(E23)=0,N(F23)=0),"",N(C23)-H23+N(E23)+N(F23))</f>
        <v/>
      </c>
      <c r="J23" s="17">
        <f>IF(AND(N(C23)=0,N(E23)=0,N(F23)=0),"",SUM(I$8:I23))</f>
        <v/>
      </c>
      <c r="K23" s="17">
        <f>IF(AND(N(C23)=0,N(E23)=0,N(F23)=0),"",N($C$4)-J23)</f>
        <v/>
      </c>
      <c r="L23" s="17">
        <f>IF(AND(N(C23)=0,N(E23)=0,N(F23)=0),"",SUM(H$8:H23))</f>
        <v/>
      </c>
      <c r="M23" s="14" t="n"/>
    </row>
    <row r="24">
      <c r="A24" s="14" t="n"/>
      <c r="B24" s="14" t="n"/>
      <c r="C24" s="16" t="n"/>
      <c r="D24" s="14" t="n"/>
      <c r="E24" s="16" t="n"/>
      <c r="F24" s="16" t="n"/>
      <c r="G24" s="11">
        <f>IF(AND(N(C24)=0,N(E24)=0,N(F24)=0),"",IF(N(C24)=0,"Your cash",IF(N(H24)=0,"Your cash",IF(H24&lt;C24,"Your cash first, then loan","Loan"))))</f>
        <v/>
      </c>
      <c r="H24" s="17">
        <f>IF(N(C24)=0,0,MIN(C24-MIN(C24,MAX(0,$E$3-(SUM(C$7:C23)-SUM(H$7:H23)))),MAX(0,N($C$3)-SUM(H$7:H23))))</f>
        <v/>
      </c>
      <c r="I24" s="19">
        <f>IF(AND(N(C24)=0,N(E24)=0,N(F24)=0),"",N(C24)-H24+N(E24)+N(F24))</f>
        <v/>
      </c>
      <c r="J24" s="17">
        <f>IF(AND(N(C24)=0,N(E24)=0,N(F24)=0),"",SUM(I$8:I24))</f>
        <v/>
      </c>
      <c r="K24" s="17">
        <f>IF(AND(N(C24)=0,N(E24)=0,N(F24)=0),"",N($C$4)-J24)</f>
        <v/>
      </c>
      <c r="L24" s="17">
        <f>IF(AND(N(C24)=0,N(E24)=0,N(F24)=0),"",SUM(H$8:H24))</f>
        <v/>
      </c>
      <c r="M24" s="14" t="n"/>
    </row>
    <row r="25">
      <c r="A25" s="14" t="n"/>
      <c r="B25" s="14" t="n"/>
      <c r="C25" s="16" t="n"/>
      <c r="D25" s="14" t="n"/>
      <c r="E25" s="16" t="n"/>
      <c r="F25" s="16" t="n"/>
      <c r="G25" s="11">
        <f>IF(AND(N(C25)=0,N(E25)=0,N(F25)=0),"",IF(N(C25)=0,"Your cash",IF(N(H25)=0,"Your cash",IF(H25&lt;C25,"Your cash first, then loan","Loan"))))</f>
        <v/>
      </c>
      <c r="H25" s="17">
        <f>IF(N(C25)=0,0,MIN(C25-MIN(C25,MAX(0,$E$3-(SUM(C$7:C24)-SUM(H$7:H24)))),MAX(0,N($C$3)-SUM(H$7:H24))))</f>
        <v/>
      </c>
      <c r="I25" s="19">
        <f>IF(AND(N(C25)=0,N(E25)=0,N(F25)=0),"",N(C25)-H25+N(E25)+N(F25))</f>
        <v/>
      </c>
      <c r="J25" s="17">
        <f>IF(AND(N(C25)=0,N(E25)=0,N(F25)=0),"",SUM(I$8:I25))</f>
        <v/>
      </c>
      <c r="K25" s="17">
        <f>IF(AND(N(C25)=0,N(E25)=0,N(F25)=0),"",N($C$4)-J25)</f>
        <v/>
      </c>
      <c r="L25" s="17">
        <f>IF(AND(N(C25)=0,N(E25)=0,N(F25)=0),"",SUM(H$8:H25))</f>
        <v/>
      </c>
      <c r="M25" s="14" t="n"/>
    </row>
    <row r="26">
      <c r="A26" s="8" t="inlineStr">
        <is>
          <t>Totals</t>
        </is>
      </c>
      <c r="B26" s="34" t="n"/>
      <c r="C26" s="33">
        <f>SUM(C8:C25)</f>
        <v/>
      </c>
      <c r="D26" s="34" t="n"/>
      <c r="E26" s="33">
        <f>SUM(E8:E25)</f>
        <v/>
      </c>
      <c r="F26" s="33">
        <f>SUM(F8:F25)</f>
        <v/>
      </c>
      <c r="G26" s="34" t="n"/>
      <c r="H26" s="33">
        <f>SUM(H8:H25)</f>
        <v/>
      </c>
      <c r="I26" s="33">
        <f>SUM(I8:I25)</f>
        <v/>
      </c>
      <c r="J26" s="34" t="n"/>
      <c r="K26" s="34" t="n"/>
      <c r="L26" s="34" t="n"/>
      <c r="M26" s="34" t="n"/>
    </row>
    <row r="28">
      <c r="A28" s="6" t="inlineStr">
        <is>
          <t>• Contract claims start from the Progress claims schedule. Type over them with your own amounts, and put each event in the month you expect it.</t>
        </is>
      </c>
    </row>
    <row r="29">
      <c r="A29" s="6" t="inlineStr">
        <is>
          <t>• Lenders usually want your funds spent before theirs: the sheet uses your cash share of the contract price first, then the loan.</t>
        </is>
      </c>
    </row>
    <row r="30">
      <c r="A30" s="6" t="inlineStr">
        <is>
          <t>• Unless your lender approves an increase, assume variations, overruns and owner-supplied items come from your cash. Tell your lender early about anything large.</t>
        </is>
      </c>
    </row>
    <row r="31">
      <c r="A31" s="6" t="inlineStr">
        <is>
          <t>• Add interest on each drawdown and your rent. Update the forecast at every stage.</t>
        </is>
      </c>
    </row>
  </sheetData>
  <mergeCells count="8">
    <mergeCell ref="A4:B4"/>
    <mergeCell ref="A31:M31"/>
    <mergeCell ref="F3:M5"/>
    <mergeCell ref="A5:B5"/>
    <mergeCell ref="A30:M30"/>
    <mergeCell ref="A29:M29"/>
    <mergeCell ref="A3:B3"/>
    <mergeCell ref="A28:M28"/>
  </mergeCells>
  <conditionalFormatting sqref="F3:M5">
    <cfRule type="expression" priority="1" dxfId="0">
      <formula>LEFT($F$3,7)="WARNING"</formula>
    </cfRule>
    <cfRule type="expression" priority="2" dxfId="1">
      <formula>LEFT($F$3,2)="OK"</formula>
    </cfRule>
  </conditionalFormatting>
  <conditionalFormatting sqref="K8:K25">
    <cfRule type="expression" priority="3" dxfId="0">
      <formula>AND(ISNUMBER(K8),K8&lt;N($C$5))</formula>
    </cfRule>
  </conditionalFormatting>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Constructor</dc:creator>
  <dc:title xmlns:dc="http://purl.org/dc/elements/1.1/">Constructor Cost-Control Register</dc:title>
  <dcterms:created xmlns:dcterms="http://purl.org/dc/terms/" xmlns:xsi="http://www.w3.org/2001/XMLSchema-instance" xsi:type="dcterms:W3CDTF">2026-10-18T08:57:27Z</dcterms:created>
  <dcterms:modified xmlns:dcterms="http://purl.org/dc/terms/" xmlns:xsi="http://www.w3.org/2001/XMLSchema-instance" xsi:type="dcterms:W3CDTF">2026-10-18T08:57:27Z</dcterms:modified>
</cp:coreProperties>
</file>