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janet\Desktop\Top300\Top 50 issued Nov 2025\"/>
    </mc:Choice>
  </mc:AlternateContent>
  <xr:revisionPtr revIDLastSave="0" documentId="8_{CFF2F6C8-2D4E-45E3-B262-C602DDCC5EB5}" xr6:coauthVersionLast="47" xr6:coauthVersionMax="47" xr10:uidLastSave="{00000000-0000-0000-0000-000000000000}"/>
  <bookViews>
    <workbookView xWindow="-108" yWindow="-108" windowWidth="23256" windowHeight="12456" firstSheet="1" activeTab="2" xr2:uid="{00000000-000D-0000-FFFF-FFFF00000000}"/>
  </bookViews>
  <sheets>
    <sheet name="Trends" sheetId="3" r:id="rId1"/>
    <sheet name="Independent Groups" sheetId="1" r:id="rId2"/>
    <sheet name="OEM-owned groups" sheetId="2" r:id="rId3"/>
    <sheet name="Brand Key" sheetId="5" r:id="rId4"/>
  </sheets>
  <definedNames>
    <definedName name="_xlnm._FilterDatabase" localSheetId="1" hidden="1">'Independent Groups'!$A$2:$U$57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6" i="2" l="1"/>
  <c r="N55" i="2"/>
  <c r="N54" i="2"/>
  <c r="I54" i="2"/>
  <c r="I51" i="2"/>
  <c r="N49" i="2"/>
  <c r="F49" i="2"/>
  <c r="E46" i="2"/>
  <c r="F46" i="2" s="1"/>
  <c r="L45" i="2"/>
  <c r="R43" i="2"/>
  <c r="N43" i="2"/>
  <c r="N35" i="2"/>
  <c r="I35" i="2"/>
  <c r="E35" i="2"/>
  <c r="N34" i="2"/>
  <c r="E34" i="2"/>
  <c r="N33" i="2"/>
  <c r="F31" i="2"/>
  <c r="N28" i="2"/>
  <c r="I28" i="2"/>
  <c r="N21" i="2"/>
  <c r="N15" i="2"/>
  <c r="M14" i="2"/>
  <c r="K14" i="2"/>
  <c r="L14" i="2" s="1"/>
  <c r="N14" i="2" s="1"/>
  <c r="I14" i="2"/>
  <c r="N10" i="2"/>
  <c r="I10" i="2"/>
  <c r="L7" i="2"/>
  <c r="N6" i="2"/>
  <c r="K5" i="2"/>
  <c r="I5" i="2"/>
  <c r="E4" i="2"/>
  <c r="AM66" i="3"/>
  <c r="AM65" i="3"/>
  <c r="C56" i="1" l="1"/>
  <c r="N14" i="1" l="1"/>
  <c r="Q19" i="1" l="1"/>
  <c r="P19" i="1"/>
  <c r="O19" i="1" s="1"/>
  <c r="AK68" i="3"/>
  <c r="AJ75" i="3"/>
  <c r="AK73" i="3"/>
  <c r="AK72" i="3"/>
  <c r="AK71" i="3"/>
  <c r="AK70" i="3"/>
  <c r="AK69" i="3"/>
  <c r="AK67" i="3"/>
  <c r="AK66" i="3"/>
  <c r="AK65" i="3"/>
  <c r="AK64" i="3"/>
  <c r="AK63" i="3"/>
  <c r="AK62" i="3"/>
  <c r="AK61" i="3"/>
  <c r="AK60" i="3"/>
  <c r="AK59" i="3"/>
  <c r="AK58" i="3"/>
  <c r="AK57" i="3"/>
  <c r="R19" i="1" l="1"/>
  <c r="N15" i="1"/>
  <c r="Q4" i="1"/>
  <c r="P4" i="1"/>
  <c r="N47" i="1" l="1"/>
  <c r="P43" i="1" l="1"/>
  <c r="R38" i="1"/>
  <c r="O10" i="1"/>
  <c r="Q30" i="1"/>
  <c r="L44" i="3" l="1"/>
  <c r="AG44" i="3" l="1"/>
  <c r="X44" i="3"/>
  <c r="P62" i="1" l="1"/>
  <c r="M55" i="3" s="1"/>
  <c r="X55" i="3" l="1"/>
  <c r="AG55" i="3"/>
  <c r="M56" i="3"/>
  <c r="AT32" i="3" s="1"/>
  <c r="AG56" i="3" l="1"/>
  <c r="X56" i="3"/>
  <c r="Q57" i="1" l="1"/>
  <c r="M31" i="3" s="1"/>
  <c r="P57" i="1"/>
  <c r="M30" i="3" s="1"/>
  <c r="H57" i="1"/>
  <c r="M28" i="3" s="1"/>
  <c r="I56" i="1"/>
  <c r="M11" i="3" s="1"/>
  <c r="H56" i="1"/>
  <c r="M12" i="3" s="1"/>
  <c r="H55" i="1"/>
  <c r="M20" i="3" s="1"/>
  <c r="H54" i="1"/>
  <c r="M4" i="3" s="1"/>
  <c r="AG4" i="3" s="1"/>
  <c r="H53" i="1"/>
  <c r="M36" i="3" s="1"/>
  <c r="X11" i="3" l="1"/>
  <c r="AG11" i="3"/>
  <c r="X4" i="3"/>
  <c r="X12" i="3"/>
  <c r="AG12" i="3"/>
  <c r="X20" i="3"/>
  <c r="AG20" i="3"/>
  <c r="X36" i="3"/>
  <c r="AG36" i="3"/>
  <c r="X28" i="3"/>
  <c r="AG28" i="3"/>
  <c r="AG31" i="3"/>
  <c r="X31" i="3"/>
  <c r="X30" i="3"/>
  <c r="AG30" i="3"/>
  <c r="M32" i="3"/>
  <c r="N30" i="1"/>
  <c r="N13" i="1" l="1"/>
  <c r="N12" i="1" l="1"/>
  <c r="N41" i="1" l="1"/>
  <c r="N44" i="1"/>
  <c r="R41" i="1"/>
  <c r="R12" i="1" l="1"/>
  <c r="R46" i="1"/>
  <c r="Q20" i="1" l="1"/>
  <c r="Q56" i="1" s="1"/>
  <c r="M15" i="3" s="1"/>
  <c r="P20" i="1"/>
  <c r="O20" i="1"/>
  <c r="N48" i="1"/>
  <c r="O11" i="1"/>
  <c r="R11" i="1" s="1"/>
  <c r="N52" i="1"/>
  <c r="AG15" i="3" l="1"/>
  <c r="X15" i="3"/>
  <c r="R20" i="1"/>
  <c r="R40" i="1" l="1"/>
  <c r="R21" i="1"/>
  <c r="I7" i="1" l="1"/>
  <c r="I28" i="1" l="1"/>
  <c r="N8" i="1"/>
  <c r="N31" i="1" l="1"/>
  <c r="N57" i="1" s="1"/>
  <c r="M29" i="3" s="1"/>
  <c r="X29" i="3" l="1"/>
  <c r="AG29" i="3"/>
  <c r="AT7" i="3"/>
  <c r="R10" i="1"/>
  <c r="I5" i="1"/>
  <c r="P5" i="1"/>
  <c r="Q5" i="1"/>
  <c r="P61" i="1" l="1"/>
  <c r="M52" i="3" s="1"/>
  <c r="P54" i="1"/>
  <c r="M6" i="3" s="1"/>
  <c r="Q54" i="1"/>
  <c r="M7" i="3" s="1"/>
  <c r="Q55" i="1"/>
  <c r="M23" i="3" s="1"/>
  <c r="Q53" i="1"/>
  <c r="M39" i="3" s="1"/>
  <c r="I54" i="1"/>
  <c r="M3" i="3" s="1"/>
  <c r="I55" i="1"/>
  <c r="M19" i="3" s="1"/>
  <c r="P18" i="1"/>
  <c r="P56" i="1" s="1"/>
  <c r="M14" i="3" s="1"/>
  <c r="N18" i="1"/>
  <c r="N19" i="1"/>
  <c r="P53" i="1" l="1"/>
  <c r="M38" i="3" s="1"/>
  <c r="X38" i="3" s="1"/>
  <c r="X19" i="3"/>
  <c r="AG19" i="3"/>
  <c r="AG39" i="3"/>
  <c r="X39" i="3"/>
  <c r="P55" i="1"/>
  <c r="M22" i="3" s="1"/>
  <c r="P60" i="1"/>
  <c r="M49" i="3" s="1"/>
  <c r="AG23" i="3"/>
  <c r="X23" i="3"/>
  <c r="AG6" i="3"/>
  <c r="X6" i="3"/>
  <c r="M53" i="3"/>
  <c r="AG52" i="3"/>
  <c r="X52" i="3"/>
  <c r="AG14" i="3"/>
  <c r="X14" i="3"/>
  <c r="M16" i="3"/>
  <c r="AG3" i="3"/>
  <c r="X3" i="3"/>
  <c r="X7" i="3"/>
  <c r="AG7" i="3"/>
  <c r="M8" i="3"/>
  <c r="P59" i="1"/>
  <c r="M46" i="3" s="1"/>
  <c r="N6" i="1"/>
  <c r="R45" i="1"/>
  <c r="R32" i="1"/>
  <c r="R52" i="1"/>
  <c r="R34" i="1"/>
  <c r="R33" i="1"/>
  <c r="R27" i="1"/>
  <c r="R26" i="1"/>
  <c r="R17" i="1"/>
  <c r="R8" i="1"/>
  <c r="AG38" i="3" l="1"/>
  <c r="M40" i="3"/>
  <c r="N54" i="1"/>
  <c r="M5" i="3" s="1"/>
  <c r="M50" i="3"/>
  <c r="X49" i="3"/>
  <c r="AG49" i="3"/>
  <c r="AT30" i="3"/>
  <c r="AG53" i="3"/>
  <c r="X53" i="3"/>
  <c r="AG22" i="3"/>
  <c r="X22" i="3"/>
  <c r="X46" i="3"/>
  <c r="M47" i="3"/>
  <c r="AG46" i="3"/>
  <c r="M24" i="3"/>
  <c r="R5" i="1"/>
  <c r="AT31" i="3" l="1"/>
  <c r="AT33" i="3" s="1"/>
  <c r="AG50" i="3"/>
  <c r="X50" i="3"/>
  <c r="X47" i="3"/>
  <c r="AG47" i="3"/>
  <c r="AT5" i="3"/>
  <c r="AG5" i="3"/>
  <c r="X5" i="3"/>
  <c r="C3" i="1"/>
  <c r="AF44" i="3" l="1"/>
  <c r="W44" i="3"/>
  <c r="N56" i="1" l="1"/>
  <c r="M13" i="3" s="1"/>
  <c r="N53" i="1"/>
  <c r="M37" i="3" s="1"/>
  <c r="N55" i="1"/>
  <c r="M21" i="3" s="1"/>
  <c r="X13" i="3" l="1"/>
  <c r="AG13" i="3"/>
  <c r="AT6" i="3"/>
  <c r="X37" i="3"/>
  <c r="AG37" i="3"/>
  <c r="AG21" i="3"/>
  <c r="X21" i="3"/>
  <c r="R4" i="1"/>
  <c r="AQ6" i="3" l="1"/>
  <c r="R25" i="1" l="1"/>
  <c r="R23" i="1" l="1"/>
  <c r="R7" i="1" l="1"/>
  <c r="R15" i="1" l="1"/>
  <c r="R18" i="1"/>
  <c r="R35" i="1" l="1"/>
  <c r="R37" i="1"/>
  <c r="R39" i="1"/>
  <c r="R29" i="1"/>
  <c r="R28" i="1"/>
  <c r="R24" i="1"/>
  <c r="R49" i="1" l="1"/>
  <c r="R30" i="1" l="1"/>
  <c r="R22" i="1" l="1"/>
  <c r="R42" i="1"/>
  <c r="R51" i="1"/>
  <c r="U3" i="3" l="1"/>
  <c r="U4" i="3"/>
  <c r="U5" i="3"/>
  <c r="U6" i="3"/>
  <c r="U7" i="3"/>
  <c r="U11" i="3"/>
  <c r="U12" i="3"/>
  <c r="U13" i="3"/>
  <c r="U14" i="3"/>
  <c r="U15" i="3"/>
  <c r="U19" i="3"/>
  <c r="U20" i="3"/>
  <c r="U21" i="3"/>
  <c r="U22" i="3"/>
  <c r="U23" i="3"/>
  <c r="U27" i="3"/>
  <c r="U28" i="3"/>
  <c r="U29" i="3"/>
  <c r="U30" i="3"/>
  <c r="U31" i="3"/>
  <c r="U35" i="3"/>
  <c r="U36" i="3"/>
  <c r="U37" i="3"/>
  <c r="U38" i="3"/>
  <c r="U39" i="3"/>
  <c r="W28" i="3" l="1"/>
  <c r="AF28" i="3" l="1"/>
  <c r="R43" i="1" l="1"/>
  <c r="I43" i="1"/>
  <c r="I57" i="1" l="1"/>
  <c r="M27" i="3" s="1"/>
  <c r="I53" i="1"/>
  <c r="M35" i="3" s="1"/>
  <c r="W27" i="3"/>
  <c r="W35" i="3"/>
  <c r="W15" i="3"/>
  <c r="H40" i="3"/>
  <c r="G40" i="3"/>
  <c r="F40" i="3"/>
  <c r="E40" i="3"/>
  <c r="D40" i="3"/>
  <c r="C40" i="3"/>
  <c r="B40" i="3"/>
  <c r="H32" i="3"/>
  <c r="G32" i="3"/>
  <c r="F32" i="3"/>
  <c r="E32" i="3"/>
  <c r="D32" i="3"/>
  <c r="C32" i="3"/>
  <c r="B32" i="3"/>
  <c r="H24" i="3"/>
  <c r="G24" i="3"/>
  <c r="F24" i="3"/>
  <c r="E24" i="3"/>
  <c r="D24" i="3"/>
  <c r="C24" i="3"/>
  <c r="B24" i="3"/>
  <c r="H16" i="3"/>
  <c r="G16" i="3"/>
  <c r="F16" i="3"/>
  <c r="E16" i="3"/>
  <c r="D16" i="3"/>
  <c r="C16" i="3"/>
  <c r="B16" i="3"/>
  <c r="H8" i="3"/>
  <c r="G8" i="3"/>
  <c r="F8" i="3"/>
  <c r="E8" i="3"/>
  <c r="D8" i="3"/>
  <c r="C8" i="3"/>
  <c r="B8" i="3"/>
  <c r="I8" i="3"/>
  <c r="I16" i="3"/>
  <c r="I40" i="3"/>
  <c r="I32" i="3"/>
  <c r="I24" i="3"/>
  <c r="AP32" i="3"/>
  <c r="AO32" i="3"/>
  <c r="AN32" i="3"/>
  <c r="AM32" i="3"/>
  <c r="AL32" i="3"/>
  <c r="AK32" i="3"/>
  <c r="AJ32" i="3"/>
  <c r="AP31" i="3"/>
  <c r="AO31" i="3"/>
  <c r="AN31" i="3"/>
  <c r="AM31" i="3"/>
  <c r="AL31" i="3"/>
  <c r="AK31" i="3"/>
  <c r="AJ31" i="3"/>
  <c r="AP30" i="3"/>
  <c r="AO30" i="3"/>
  <c r="AN30" i="3"/>
  <c r="AM30" i="3"/>
  <c r="AL30" i="3"/>
  <c r="AK30" i="3"/>
  <c r="AJ30" i="3"/>
  <c r="AI32" i="3"/>
  <c r="AI31" i="3"/>
  <c r="AI30" i="3"/>
  <c r="AI33" i="3" s="1"/>
  <c r="E74" i="2"/>
  <c r="Y52" i="3"/>
  <c r="Z52" i="3"/>
  <c r="AA52" i="3"/>
  <c r="AB52" i="3"/>
  <c r="AC52" i="3"/>
  <c r="AD44" i="3"/>
  <c r="S56" i="3"/>
  <c r="R56" i="3"/>
  <c r="Q56" i="3"/>
  <c r="P56" i="3"/>
  <c r="O56" i="3"/>
  <c r="N56" i="3"/>
  <c r="T56" i="3"/>
  <c r="S52" i="3"/>
  <c r="R52" i="3"/>
  <c r="Q52" i="3"/>
  <c r="P52" i="3"/>
  <c r="O52" i="3"/>
  <c r="N52" i="3"/>
  <c r="S53" i="3"/>
  <c r="R53" i="3"/>
  <c r="Q53" i="3"/>
  <c r="P53" i="3"/>
  <c r="O53" i="3"/>
  <c r="N53" i="3"/>
  <c r="T53" i="3"/>
  <c r="T50" i="3"/>
  <c r="S50" i="3"/>
  <c r="R50" i="3"/>
  <c r="Q50" i="3"/>
  <c r="P50" i="3"/>
  <c r="O50" i="3"/>
  <c r="N50" i="3"/>
  <c r="R47" i="3"/>
  <c r="Q47" i="3"/>
  <c r="P47" i="3"/>
  <c r="O47" i="3"/>
  <c r="N47" i="3"/>
  <c r="U44" i="3"/>
  <c r="W4" i="3"/>
  <c r="R14" i="1"/>
  <c r="U52" i="3"/>
  <c r="AO7" i="3"/>
  <c r="AN7" i="3"/>
  <c r="AM7" i="3"/>
  <c r="AL7" i="3"/>
  <c r="AK7" i="3"/>
  <c r="AJ7" i="3"/>
  <c r="AO6" i="3"/>
  <c r="AN6" i="3"/>
  <c r="AM6" i="3"/>
  <c r="AL6" i="3"/>
  <c r="AK6" i="3"/>
  <c r="AJ6" i="3"/>
  <c r="AO5" i="3"/>
  <c r="AN5" i="3"/>
  <c r="AM5" i="3"/>
  <c r="AL5" i="3"/>
  <c r="AK5" i="3"/>
  <c r="AJ5" i="3"/>
  <c r="AI7" i="3"/>
  <c r="AI6" i="3"/>
  <c r="AI5" i="3"/>
  <c r="S47" i="3"/>
  <c r="AB55" i="3"/>
  <c r="AB49" i="3"/>
  <c r="AB46" i="3"/>
  <c r="AB44" i="3"/>
  <c r="AB39" i="3"/>
  <c r="AB38" i="3"/>
  <c r="AB37" i="3"/>
  <c r="AB36" i="3"/>
  <c r="AB35" i="3"/>
  <c r="AB31" i="3"/>
  <c r="AB30" i="3"/>
  <c r="AB29" i="3"/>
  <c r="AB28" i="3"/>
  <c r="AB27" i="3"/>
  <c r="AB23" i="3"/>
  <c r="AB22" i="3"/>
  <c r="AB21" i="3"/>
  <c r="AB20" i="3"/>
  <c r="AB19" i="3"/>
  <c r="AB15" i="3"/>
  <c r="AB14" i="3"/>
  <c r="AB13" i="3"/>
  <c r="AB12" i="3"/>
  <c r="AB11" i="3"/>
  <c r="AB7" i="3"/>
  <c r="AB6" i="3"/>
  <c r="AB5" i="3"/>
  <c r="AB4" i="3"/>
  <c r="AB3" i="3"/>
  <c r="T44" i="3"/>
  <c r="S55" i="3"/>
  <c r="S49" i="3"/>
  <c r="S46" i="3"/>
  <c r="S44" i="3"/>
  <c r="S39" i="3"/>
  <c r="S38" i="3"/>
  <c r="S37" i="3"/>
  <c r="S36" i="3"/>
  <c r="S35" i="3"/>
  <c r="S31" i="3"/>
  <c r="S30" i="3"/>
  <c r="S29" i="3"/>
  <c r="S28" i="3"/>
  <c r="S27" i="3"/>
  <c r="S23" i="3"/>
  <c r="S22" i="3"/>
  <c r="S21" i="3"/>
  <c r="S20" i="3"/>
  <c r="S19" i="3"/>
  <c r="S15" i="3"/>
  <c r="S14" i="3"/>
  <c r="S13" i="3"/>
  <c r="S12" i="3"/>
  <c r="S11" i="3"/>
  <c r="S7" i="3"/>
  <c r="S6" i="3"/>
  <c r="S5" i="3"/>
  <c r="S4" i="3"/>
  <c r="S3" i="3"/>
  <c r="R36" i="1"/>
  <c r="U46" i="3"/>
  <c r="AD49" i="3"/>
  <c r="T49" i="3"/>
  <c r="T52" i="3"/>
  <c r="T46" i="3"/>
  <c r="T55" i="3"/>
  <c r="AC44" i="3"/>
  <c r="AA55" i="3"/>
  <c r="AA49" i="3"/>
  <c r="AA46" i="3"/>
  <c r="AA44" i="3"/>
  <c r="AA39" i="3"/>
  <c r="AA38" i="3"/>
  <c r="AA37" i="3"/>
  <c r="AA36" i="3"/>
  <c r="AA35" i="3"/>
  <c r="AA31" i="3"/>
  <c r="AA30" i="3"/>
  <c r="AA29" i="3"/>
  <c r="AA28" i="3"/>
  <c r="AA27" i="3"/>
  <c r="AA23" i="3"/>
  <c r="AA22" i="3"/>
  <c r="AA21" i="3"/>
  <c r="AA20" i="3"/>
  <c r="AA19" i="3"/>
  <c r="AA15" i="3"/>
  <c r="AA14" i="3"/>
  <c r="AA13" i="3"/>
  <c r="AA12" i="3"/>
  <c r="AA11" i="3"/>
  <c r="AA7" i="3"/>
  <c r="AA6" i="3"/>
  <c r="AA5" i="3"/>
  <c r="AA4" i="3"/>
  <c r="AA3" i="3"/>
  <c r="R55" i="3"/>
  <c r="R49" i="3"/>
  <c r="R46" i="3"/>
  <c r="R44" i="3"/>
  <c r="R39" i="3"/>
  <c r="R38" i="3"/>
  <c r="R37" i="3"/>
  <c r="R36" i="3"/>
  <c r="R35" i="3"/>
  <c r="R31" i="3"/>
  <c r="R30" i="3"/>
  <c r="R29" i="3"/>
  <c r="R28" i="3"/>
  <c r="R27" i="3"/>
  <c r="R23" i="3"/>
  <c r="R22" i="3"/>
  <c r="R21" i="3"/>
  <c r="R20" i="3"/>
  <c r="R19" i="3"/>
  <c r="R15" i="3"/>
  <c r="R14" i="3"/>
  <c r="R13" i="3"/>
  <c r="R12" i="3"/>
  <c r="R11" i="3"/>
  <c r="R7" i="3"/>
  <c r="R6" i="3"/>
  <c r="R5" i="3"/>
  <c r="R4" i="3"/>
  <c r="R3" i="3"/>
  <c r="W19" i="3"/>
  <c r="W3" i="3"/>
  <c r="W12" i="3"/>
  <c r="W20" i="3"/>
  <c r="W14" i="3"/>
  <c r="R6" i="1"/>
  <c r="AC49" i="3"/>
  <c r="AC46" i="3"/>
  <c r="AC55" i="3"/>
  <c r="T47" i="3"/>
  <c r="T28" i="3"/>
  <c r="T27" i="3"/>
  <c r="AC28" i="3"/>
  <c r="AC27" i="3"/>
  <c r="T31" i="3"/>
  <c r="AC31" i="3"/>
  <c r="Q44" i="3"/>
  <c r="Z44" i="3"/>
  <c r="T36" i="3"/>
  <c r="T20" i="3"/>
  <c r="T4" i="3"/>
  <c r="Q31" i="3"/>
  <c r="Q27" i="3"/>
  <c r="Z28" i="3"/>
  <c r="AC36" i="3"/>
  <c r="AC20" i="3"/>
  <c r="AC4" i="3"/>
  <c r="Q12" i="3"/>
  <c r="T12" i="3"/>
  <c r="Z11" i="3"/>
  <c r="T11" i="3"/>
  <c r="Z27" i="3"/>
  <c r="Q11" i="3"/>
  <c r="Z12" i="3"/>
  <c r="Z31" i="3"/>
  <c r="Q28" i="3"/>
  <c r="AC11" i="3"/>
  <c r="AC12" i="3"/>
  <c r="R44" i="1"/>
  <c r="R31" i="1"/>
  <c r="R47" i="1"/>
  <c r="R9" i="1"/>
  <c r="R13" i="1"/>
  <c r="B4" i="1"/>
  <c r="T15" i="3"/>
  <c r="T39" i="3"/>
  <c r="T7" i="3"/>
  <c r="T19" i="3"/>
  <c r="T35" i="3"/>
  <c r="T3" i="3"/>
  <c r="AP5" i="3"/>
  <c r="AP7" i="3"/>
  <c r="AP6" i="3"/>
  <c r="Q20" i="3"/>
  <c r="Z20" i="3"/>
  <c r="Z4" i="3"/>
  <c r="Q4" i="3"/>
  <c r="Z36" i="3"/>
  <c r="Q36" i="3"/>
  <c r="T21" i="3"/>
  <c r="T13" i="3"/>
  <c r="T5" i="3"/>
  <c r="T6" i="3"/>
  <c r="T22" i="3"/>
  <c r="T30" i="3"/>
  <c r="T29" i="3"/>
  <c r="T37" i="3"/>
  <c r="AC19" i="3"/>
  <c r="AC30" i="3"/>
  <c r="AC6" i="3"/>
  <c r="AC21" i="3"/>
  <c r="AC15" i="3"/>
  <c r="AC13" i="3"/>
  <c r="AC5" i="3"/>
  <c r="AC35" i="3"/>
  <c r="AC29" i="3"/>
  <c r="AC3" i="3"/>
  <c r="AC39" i="3"/>
  <c r="AC22" i="3"/>
  <c r="AC37" i="3"/>
  <c r="AC7" i="3"/>
  <c r="Q23" i="3"/>
  <c r="T23" i="3"/>
  <c r="Q38" i="3"/>
  <c r="Q14" i="3"/>
  <c r="Z14" i="3"/>
  <c r="Z23" i="3"/>
  <c r="Z19" i="3"/>
  <c r="Q19" i="3"/>
  <c r="Q13" i="3"/>
  <c r="Z13" i="3"/>
  <c r="Z7" i="3"/>
  <c r="Q7" i="3"/>
  <c r="Q6" i="3"/>
  <c r="Z6" i="3"/>
  <c r="Z5" i="3"/>
  <c r="Q5" i="3"/>
  <c r="Z15" i="3"/>
  <c r="Q15" i="3"/>
  <c r="Z38" i="3"/>
  <c r="Z55" i="3"/>
  <c r="Q55" i="3"/>
  <c r="Z46" i="3"/>
  <c r="Q46" i="3"/>
  <c r="Z3" i="3"/>
  <c r="Q3" i="3"/>
  <c r="Z30" i="3"/>
  <c r="Q30" i="3"/>
  <c r="Z29" i="3"/>
  <c r="Q29" i="3"/>
  <c r="Q49" i="3"/>
  <c r="Z49" i="3"/>
  <c r="Z39" i="3"/>
  <c r="Q39" i="3"/>
  <c r="Z22" i="3"/>
  <c r="Q22" i="3"/>
  <c r="Z35" i="3"/>
  <c r="Q35" i="3"/>
  <c r="Q37" i="3"/>
  <c r="Z37" i="3"/>
  <c r="Z21" i="3"/>
  <c r="Q21" i="3"/>
  <c r="T14" i="3"/>
  <c r="T38" i="3"/>
  <c r="AC14" i="3"/>
  <c r="AC23" i="3"/>
  <c r="AC38" i="3"/>
  <c r="AJ33" i="3" l="1"/>
  <c r="X27" i="3"/>
  <c r="AG27" i="3"/>
  <c r="AG35" i="3"/>
  <c r="X35" i="3"/>
  <c r="R56" i="1"/>
  <c r="C4" i="1"/>
  <c r="B5" i="1"/>
  <c r="B6" i="1" s="1"/>
  <c r="B7" i="1" s="1"/>
  <c r="B8" i="1" s="1"/>
  <c r="B9" i="1" s="1"/>
  <c r="R54" i="1"/>
  <c r="R55" i="1"/>
  <c r="R57" i="1"/>
  <c r="R53" i="1"/>
  <c r="AP33" i="3"/>
  <c r="W36" i="3"/>
  <c r="AF36" i="3"/>
  <c r="AK33" i="3"/>
  <c r="AN33" i="3"/>
  <c r="AM33" i="3"/>
  <c r="AO33" i="3"/>
  <c r="AL33" i="3"/>
  <c r="W37" i="3"/>
  <c r="AF35" i="3"/>
  <c r="AF27" i="3"/>
  <c r="W39" i="3"/>
  <c r="W21" i="3"/>
  <c r="W38" i="3"/>
  <c r="AD5" i="3"/>
  <c r="AF3" i="3"/>
  <c r="AF4" i="3"/>
  <c r="AF12" i="3"/>
  <c r="AF15" i="3"/>
  <c r="AF20" i="3"/>
  <c r="AD11" i="3"/>
  <c r="W11" i="3"/>
  <c r="AF14" i="3"/>
  <c r="AF19" i="3"/>
  <c r="AD4" i="3"/>
  <c r="AD12" i="3"/>
  <c r="AD20" i="3"/>
  <c r="AD6" i="3"/>
  <c r="AD3" i="3"/>
  <c r="AD7" i="3"/>
  <c r="J8" i="3"/>
  <c r="AQ5" i="3"/>
  <c r="AD19" i="3"/>
  <c r="AD52" i="3"/>
  <c r="AD27" i="3"/>
  <c r="AD35" i="3"/>
  <c r="AD28" i="3"/>
  <c r="AD36" i="3"/>
  <c r="AQ7" i="3"/>
  <c r="AD29" i="3"/>
  <c r="AD31" i="3"/>
  <c r="U56" i="3"/>
  <c r="AQ32" i="3"/>
  <c r="J32" i="3"/>
  <c r="U55" i="3"/>
  <c r="AD30" i="3"/>
  <c r="AD55" i="3"/>
  <c r="AD21" i="3"/>
  <c r="AD22" i="3"/>
  <c r="AD38" i="3"/>
  <c r="AD14" i="3"/>
  <c r="J16" i="3"/>
  <c r="U47" i="3"/>
  <c r="J24" i="3"/>
  <c r="U49" i="3"/>
  <c r="AD46" i="3"/>
  <c r="J40" i="3"/>
  <c r="AD23" i="3"/>
  <c r="AD39" i="3"/>
  <c r="AD15" i="3"/>
  <c r="B10" i="1" l="1"/>
  <c r="B11" i="1" s="1"/>
  <c r="B12" i="1" s="1"/>
  <c r="B13" i="1" s="1"/>
  <c r="B14" i="1" s="1"/>
  <c r="B15" i="1" s="1"/>
  <c r="B16" i="1" s="1"/>
  <c r="B17" i="1" s="1"/>
  <c r="B18" i="1" s="1"/>
  <c r="B19" i="1" s="1"/>
  <c r="B20" i="1" s="1"/>
  <c r="B22" i="1" s="1"/>
  <c r="B23" i="1" s="1"/>
  <c r="B24" i="1" s="1"/>
  <c r="W49" i="3"/>
  <c r="AF49" i="3"/>
  <c r="W46" i="3"/>
  <c r="AF46" i="3"/>
  <c r="W6" i="3"/>
  <c r="W7" i="3"/>
  <c r="W5" i="3"/>
  <c r="W13" i="3"/>
  <c r="AS6" i="3"/>
  <c r="AF23" i="3"/>
  <c r="W23" i="3"/>
  <c r="AF21" i="3"/>
  <c r="AF39" i="3"/>
  <c r="AF38" i="3"/>
  <c r="AF37" i="3"/>
  <c r="AF13" i="3"/>
  <c r="AF11" i="3"/>
  <c r="U53" i="3"/>
  <c r="AQ30" i="3"/>
  <c r="AD37" i="3"/>
  <c r="AD13" i="3"/>
  <c r="U50" i="3"/>
  <c r="AQ31" i="3"/>
  <c r="AF47" i="3" l="1"/>
  <c r="W47" i="3"/>
  <c r="W52" i="3"/>
  <c r="AF52" i="3"/>
  <c r="AF50" i="3"/>
  <c r="W50" i="3"/>
  <c r="AF7" i="3"/>
  <c r="AF5" i="3"/>
  <c r="AF6" i="3"/>
  <c r="W29" i="3"/>
  <c r="AS7" i="3"/>
  <c r="AF29" i="3"/>
  <c r="AS5" i="3"/>
  <c r="W31" i="3"/>
  <c r="AF31" i="3"/>
  <c r="AF22" i="3"/>
  <c r="W22" i="3"/>
  <c r="AQ33" i="3"/>
  <c r="W55" i="3" l="1"/>
  <c r="AF55" i="3"/>
  <c r="AF53" i="3"/>
  <c r="W53" i="3"/>
  <c r="W30" i="3"/>
  <c r="AF30" i="3"/>
  <c r="AS30" i="3"/>
  <c r="AS31" i="3"/>
  <c r="AU30" i="3"/>
  <c r="AZ31" i="3"/>
  <c r="AU31" i="3"/>
  <c r="AW30" i="3"/>
  <c r="AW31" i="3"/>
  <c r="AV31" i="3"/>
  <c r="AZ30" i="3"/>
  <c r="AX31" i="3"/>
  <c r="AY30" i="3"/>
  <c r="AY31" i="3"/>
  <c r="AX30" i="3"/>
  <c r="AV30" i="3"/>
  <c r="W56" i="3" l="1"/>
  <c r="AF56" i="3"/>
  <c r="AS32" i="3"/>
  <c r="AX32" i="3"/>
  <c r="AY32" i="3"/>
  <c r="AV32" i="3"/>
  <c r="AU32" i="3"/>
  <c r="AW32" i="3"/>
  <c r="AZ32" i="3"/>
  <c r="AZ33" i="3" l="1"/>
  <c r="AW33" i="3"/>
  <c r="AY33" i="3"/>
  <c r="AV33" i="3"/>
  <c r="AU33" i="3"/>
  <c r="AX33" i="3"/>
  <c r="AS33" i="3"/>
  <c r="C5" i="1" l="1"/>
  <c r="C7" i="1" l="1"/>
  <c r="C6" i="1"/>
  <c r="C8" i="1" l="1"/>
  <c r="C9" i="1" l="1"/>
  <c r="C17" i="1"/>
  <c r="C19" i="1" l="1"/>
  <c r="C10" i="1" l="1"/>
  <c r="C18" i="1"/>
  <c r="C11" i="1" l="1"/>
  <c r="C20" i="1"/>
  <c r="C12" i="1" l="1"/>
  <c r="C21" i="1"/>
  <c r="C13" i="1" l="1"/>
  <c r="C22" i="1"/>
  <c r="C14" i="1" l="1"/>
  <c r="C15" i="1"/>
  <c r="C24" i="1" l="1"/>
  <c r="C23" i="1"/>
  <c r="C27" i="1" l="1"/>
  <c r="C28" i="1" l="1"/>
  <c r="C25" i="1" l="1"/>
  <c r="B29" i="1"/>
  <c r="B30" i="1" s="1"/>
  <c r="C30" i="1" l="1"/>
  <c r="B31" i="1"/>
  <c r="C29" i="1"/>
  <c r="B26" i="1"/>
  <c r="C26" i="1" s="1"/>
  <c r="B32" i="1" l="1"/>
  <c r="C31" i="1"/>
  <c r="B33" i="1" l="1"/>
  <c r="C32" i="1"/>
  <c r="C33" i="1" l="1"/>
  <c r="B34" i="1"/>
  <c r="C34" i="1" l="1"/>
  <c r="B35" i="1"/>
  <c r="B36" i="1" l="1"/>
  <c r="C35" i="1"/>
  <c r="B37" i="1" l="1"/>
  <c r="C36" i="1"/>
  <c r="B38" i="1" l="1"/>
  <c r="B39" i="1" s="1"/>
  <c r="C37" i="1"/>
  <c r="B40" i="1" l="1"/>
  <c r="B41" i="1" s="1"/>
  <c r="B42" i="1" s="1"/>
  <c r="C39" i="1"/>
  <c r="B43" i="1" l="1"/>
  <c r="C42" i="1"/>
  <c r="B44" i="1" l="1"/>
  <c r="C43" i="1"/>
  <c r="C44" i="1" l="1"/>
  <c r="B45" i="1"/>
  <c r="B46" i="1" l="1"/>
  <c r="B47" i="1" s="1"/>
  <c r="C45" i="1"/>
  <c r="B48" i="1" l="1"/>
  <c r="C47" i="1"/>
  <c r="C48" i="1" l="1"/>
  <c r="B49" i="1"/>
  <c r="B50" i="1" l="1"/>
  <c r="C49" i="1"/>
  <c r="B51" i="1" l="1"/>
  <c r="C50" i="1"/>
  <c r="C51" i="1" l="1"/>
  <c r="B52" i="1"/>
  <c r="C55" i="1"/>
  <c r="C54" i="1"/>
  <c r="C53" i="1"/>
  <c r="C5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Bailey</author>
    <author>Christophe</author>
    <author>Auteur</author>
    <author>33630</author>
    <author>Pascal Haubenreisser</author>
    <author>Ole Marius Kirkeng</author>
  </authors>
  <commentList>
    <comment ref="J3" authorId="0" shapeId="0" xr:uid="{00000000-0006-0000-0100-000001000000}">
      <text>
        <r>
          <rPr>
            <b/>
            <sz val="9"/>
            <color indexed="81"/>
            <rFont val="Tahoma"/>
            <family val="2"/>
          </rPr>
          <t>Peter Bailey:</t>
        </r>
        <r>
          <rPr>
            <sz val="9"/>
            <color indexed="81"/>
            <rFont val="Tahoma"/>
            <family val="2"/>
          </rPr>
          <t xml:space="preserve">
Also operates in:
France, Germany,Netherands, Poland, Czech Rep, Hungary, Albania, Bosnia-Herzegovina, Croatia, Serbia-Montenegro
</t>
        </r>
      </text>
    </comment>
    <comment ref="I4" authorId="0" shapeId="0" xr:uid="{00000000-0006-0000-0100-000002000000}">
      <text>
        <r>
          <rPr>
            <b/>
            <sz val="9"/>
            <color indexed="81"/>
            <rFont val="Tahoma"/>
            <family val="2"/>
          </rPr>
          <t>Peter Bailey:</t>
        </r>
        <r>
          <rPr>
            <sz val="9"/>
            <color indexed="81"/>
            <rFont val="Tahoma"/>
            <family val="2"/>
          </rPr>
          <t xml:space="preserve">
Germany 21
Italy 28
UK 137 inc NI
exc 8 used car stores</t>
        </r>
      </text>
    </comment>
    <comment ref="I5" authorId="0" shapeId="0" xr:uid="{00000000-0006-0000-0100-000003000000}">
      <text>
        <r>
          <rPr>
            <b/>
            <sz val="9"/>
            <color indexed="81"/>
            <rFont val="Tahoma"/>
            <family val="2"/>
          </rPr>
          <t>Peter Bailey:</t>
        </r>
        <r>
          <rPr>
            <sz val="9"/>
            <color indexed="81"/>
            <rFont val="Tahoma"/>
            <family val="2"/>
          </rPr>
          <t xml:space="preserve">
Sweden 384,
Norway 28,
Finland 124,
Denmark 1
UK 16,
Belux 60,
Netherlands 142,
Switzerland 15,
Germany 34,
Slovakia, Hungary, Czech Rep 46</t>
        </r>
      </text>
    </comment>
    <comment ref="I7" authorId="0" shapeId="0" xr:uid="{00000000-0006-0000-0100-000004000000}">
      <text>
        <r>
          <rPr>
            <b/>
            <sz val="9"/>
            <color indexed="81"/>
            <rFont val="Tahoma"/>
            <family val="2"/>
          </rPr>
          <t>Peter Bailey:</t>
        </r>
        <r>
          <rPr>
            <sz val="9"/>
            <color indexed="81"/>
            <rFont val="Tahoma"/>
            <family val="2"/>
          </rPr>
          <t xml:space="preserve">
Franchised Sales points
NL 164, BE 138, DE 60, UK 18, LU 16, DK 7
Total establishments including Body Repair, Leasing &amp; other business</t>
        </r>
      </text>
    </comment>
    <comment ref="I8" authorId="0" shapeId="0" xr:uid="{00000000-0006-0000-0100-000005000000}">
      <text>
        <r>
          <rPr>
            <b/>
            <sz val="9"/>
            <color indexed="81"/>
            <rFont val="Tahoma"/>
            <family val="2"/>
          </rPr>
          <t>Peter Bailey:</t>
        </r>
        <r>
          <rPr>
            <sz val="9"/>
            <color indexed="81"/>
            <rFont val="Tahoma"/>
            <family val="2"/>
          </rPr>
          <t xml:space="preserve">
AB 16, AR 4, ALP 1, BM 4, BYD 5, CI 7, CO 2,CUP 3, DS 3, DC 15, FI 16, GEN 1, HO 1, HY 9, CJ 6, KI 10, LEAP 4, MZ 5, MB 5, MG 13, MN 3, MZ 5, OMODA-JAECOO 3, ORA 2, PE 10, RE 15, SE 5, SK 2, SM 1, VA 20, VW 6, VO 2
</t>
        </r>
      </text>
    </comment>
    <comment ref="I12" authorId="0" shapeId="0" xr:uid="{00000000-0006-0000-0100-000006000000}">
      <text>
        <r>
          <rPr>
            <b/>
            <sz val="9"/>
            <color indexed="81"/>
            <rFont val="Tahoma"/>
            <family val="2"/>
          </rPr>
          <t>Peter Bailey:</t>
        </r>
        <r>
          <rPr>
            <sz val="9"/>
            <color indexed="81"/>
            <rFont val="Tahoma"/>
            <family val="2"/>
          </rPr>
          <t xml:space="preserve">
Lookers 118, Chrales Hurst 35
inc Charles Hurst NI &amp; Audi Centre Dublin
Total UK &amp; Ireland
Excludes K W Bruun acquisition in December 2024</t>
        </r>
      </text>
    </comment>
    <comment ref="J12" authorId="0" shapeId="0" xr:uid="{00000000-0006-0000-0100-000007000000}">
      <text>
        <r>
          <rPr>
            <b/>
            <sz val="9"/>
            <color indexed="81"/>
            <rFont val="Tahoma"/>
            <family val="2"/>
          </rPr>
          <t>Peter Bailey:</t>
        </r>
        <r>
          <rPr>
            <sz val="9"/>
            <color indexed="81"/>
            <rFont val="Tahoma"/>
            <family val="2"/>
          </rPr>
          <t xml:space="preserve">
Audi 1 in Ireland, plus Import &amp; Retail in Denmark &amp; Sweden</t>
        </r>
      </text>
    </comment>
    <comment ref="I13" authorId="0" shapeId="0" xr:uid="{00000000-0006-0000-0100-000008000000}">
      <text>
        <r>
          <rPr>
            <b/>
            <sz val="9"/>
            <color indexed="81"/>
            <rFont val="Tahoma"/>
            <family val="2"/>
          </rPr>
          <t>Peter Bailey:</t>
        </r>
        <r>
          <rPr>
            <sz val="9"/>
            <color indexed="81"/>
            <rFont val="Tahoma"/>
            <family val="2"/>
          </rPr>
          <t xml:space="preserve">
AU 35, BE 1, CU 17,  PO 6, SE 17, SK 35, VW COMM 32, TOTAL 180</t>
        </r>
      </text>
    </comment>
    <comment ref="O13" authorId="0" shapeId="0" xr:uid="{00000000-0006-0000-0100-000009000000}">
      <text>
        <r>
          <rPr>
            <b/>
            <sz val="9"/>
            <color indexed="81"/>
            <rFont val="Tahoma"/>
            <family val="2"/>
          </rPr>
          <t>Peter Bailey:</t>
        </r>
        <r>
          <rPr>
            <sz val="9"/>
            <color indexed="81"/>
            <rFont val="Tahoma"/>
            <family val="2"/>
          </rPr>
          <t xml:space="preserve">
Gross wholesales 2024
AU 17984
SE/CU 9763
SK 21117
VW CAR 24072
VW COMM/CAMPER 7460
Gross Wholesale total 
80496 (exc 1833 Porche &amp; 26 Bentley retail only)</t>
        </r>
      </text>
    </comment>
    <comment ref="I14" authorId="0" shapeId="0" xr:uid="{00000000-0006-0000-0100-00000A000000}">
      <text>
        <r>
          <rPr>
            <b/>
            <sz val="9"/>
            <color indexed="81"/>
            <rFont val="Tahoma"/>
            <family val="2"/>
          </rPr>
          <t>Peter Bailey:</t>
        </r>
        <r>
          <rPr>
            <sz val="9"/>
            <color indexed="81"/>
            <rFont val="Tahoma"/>
            <family val="2"/>
          </rPr>
          <t xml:space="preserve">
AM 2, AU 12, BM 6,BYD 3, CUP 3, FO 2, FO LCV 2, HO 9, HY 7, JA 8, LR 9, MB 8, MB COMM 4, MB HCV 3, MN 5, NI 10 , OMODA/JAECOO 2,  SE 5, SK 14, SM 1, VA 1, VA LCV 1, VW 14, VW COMM 5, VO 5</t>
        </r>
      </text>
    </comment>
    <comment ref="I17" authorId="0" shapeId="0" xr:uid="{00000000-0006-0000-0100-00000B000000}">
      <text>
        <r>
          <rPr>
            <b/>
            <sz val="9"/>
            <color indexed="81"/>
            <rFont val="Tahoma"/>
            <family val="2"/>
          </rPr>
          <t>Peter Bailey:</t>
        </r>
        <r>
          <rPr>
            <sz val="9"/>
            <color indexed="81"/>
            <rFont val="Tahoma"/>
            <family val="2"/>
          </rPr>
          <t xml:space="preserve">
France 143
Italy 6 sales points
Switzerland 10 sales points:
Spain 13 sales points:
Belgium 4</t>
        </r>
      </text>
    </comment>
    <comment ref="J17" authorId="1" shapeId="0" xr:uid="{00000000-0006-0000-0100-00000C000000}">
      <text>
        <r>
          <rPr>
            <b/>
            <sz val="9"/>
            <color indexed="81"/>
            <rFont val="Tahoma"/>
            <family val="2"/>
          </rPr>
          <t>Christophe:</t>
        </r>
        <r>
          <rPr>
            <sz val="9"/>
            <color indexed="81"/>
            <rFont val="Tahoma"/>
            <family val="2"/>
          </rPr>
          <t xml:space="preserve">
France
Italy
Spain
Switzerland</t>
        </r>
      </text>
    </comment>
    <comment ref="M17" authorId="2" shapeId="0" xr:uid="{00000000-0006-0000-0100-00000D000000}">
      <text>
        <r>
          <rPr>
            <b/>
            <sz val="9"/>
            <color indexed="81"/>
            <rFont val="Tahoma"/>
            <family val="2"/>
          </rPr>
          <t>Auteur:</t>
        </r>
        <r>
          <rPr>
            <sz val="9"/>
            <color indexed="81"/>
            <rFont val="Tahoma"/>
            <family val="2"/>
          </rPr>
          <t xml:space="preserve">
2023 data:
Motorbikes -&gt; 2,162 sales 
Trucks (MB) -&gt; 78 sales</t>
        </r>
      </text>
    </comment>
    <comment ref="N17" authorId="0" shapeId="0" xr:uid="{00000000-0006-0000-0100-00000E000000}">
      <text>
        <r>
          <rPr>
            <b/>
            <sz val="9"/>
            <color indexed="81"/>
            <rFont val="Tahoma"/>
            <family val="2"/>
          </rPr>
          <t>Peter Bailey:</t>
        </r>
        <r>
          <rPr>
            <sz val="9"/>
            <color indexed="81"/>
            <rFont val="Tahoma"/>
            <family val="2"/>
          </rPr>
          <t xml:space="preserve">
From J D'A</t>
        </r>
      </text>
    </comment>
    <comment ref="P17" authorId="3" shapeId="0" xr:uid="{00000000-0006-0000-0100-00000F000000}">
      <text>
        <r>
          <rPr>
            <b/>
            <sz val="9"/>
            <color indexed="81"/>
            <rFont val="Tahoma"/>
            <family val="2"/>
          </rPr>
          <t>Peter Bailey:</t>
        </r>
        <r>
          <rPr>
            <sz val="9"/>
            <color indexed="81"/>
            <rFont val="Tahoma"/>
            <family val="2"/>
          </rPr>
          <t xml:space="preserve">
includes LCVs
Source J d'A</t>
        </r>
      </text>
    </comment>
    <comment ref="Q17" authorId="3" shapeId="0" xr:uid="{00000000-0006-0000-0100-000010000000}">
      <text>
        <r>
          <rPr>
            <b/>
            <sz val="9"/>
            <color indexed="81"/>
            <rFont val="Tahoma"/>
            <family val="2"/>
          </rPr>
          <t>Peter Bailey:</t>
        </r>
        <r>
          <rPr>
            <sz val="9"/>
            <color indexed="81"/>
            <rFont val="Tahoma"/>
            <family val="2"/>
          </rPr>
          <t xml:space="preserve">
Includes LCVs
Retail: 38000
Wholesale: 11450
\source J d'A</t>
        </r>
      </text>
    </comment>
    <comment ref="I18" authorId="0" shapeId="0" xr:uid="{00000000-0006-0000-0100-000011000000}">
      <text>
        <r>
          <rPr>
            <b/>
            <sz val="9"/>
            <color indexed="81"/>
            <rFont val="Tahoma"/>
            <family val="2"/>
          </rPr>
          <t>Peter Bailey:</t>
        </r>
        <r>
          <rPr>
            <sz val="9"/>
            <color indexed="81"/>
            <rFont val="Tahoma"/>
            <family val="2"/>
          </rPr>
          <t xml:space="preserve">
Sweden 140
Norway 57
Belgium 3
Luxembourg 3</t>
        </r>
      </text>
    </comment>
    <comment ref="I19" authorId="0" shapeId="0" xr:uid="{00000000-0006-0000-0100-000012000000}">
      <text>
        <r>
          <rPr>
            <b/>
            <sz val="9"/>
            <color indexed="81"/>
            <rFont val="Tahoma"/>
            <family val="2"/>
          </rPr>
          <t>Peter Bailey:</t>
        </r>
        <r>
          <rPr>
            <sz val="9"/>
            <color indexed="81"/>
            <rFont val="Tahoma"/>
            <family val="2"/>
          </rPr>
          <t xml:space="preserve">
VW 26
VW Comm 26
SK 16
AU 15
PO 3</t>
        </r>
      </text>
    </comment>
    <comment ref="I21" authorId="0" shapeId="0" xr:uid="{00000000-0006-0000-0100-000013000000}">
      <text>
        <r>
          <rPr>
            <b/>
            <sz val="9"/>
            <color indexed="81"/>
            <rFont val="Tahoma"/>
            <family val="2"/>
          </rPr>
          <t>Peter Bailey:</t>
        </r>
        <r>
          <rPr>
            <sz val="9"/>
            <color indexed="81"/>
            <rFont val="Tahoma"/>
            <family val="2"/>
          </rPr>
          <t xml:space="preserve">
DE 122, Austria/Hungary/ Slovenia 46 exc aftersales only &amp; used cars</t>
        </r>
      </text>
    </comment>
    <comment ref="I24" authorId="0" shapeId="0" xr:uid="{00000000-0006-0000-0100-000014000000}">
      <text>
        <r>
          <rPr>
            <b/>
            <sz val="9"/>
            <color indexed="81"/>
            <rFont val="Tahoma"/>
            <family val="2"/>
          </rPr>
          <t>Peter Bailey:</t>
        </r>
        <r>
          <rPr>
            <sz val="9"/>
            <color indexed="81"/>
            <rFont val="Tahoma"/>
            <family val="2"/>
          </rPr>
          <t xml:space="preserve">
</t>
        </r>
        <r>
          <rPr>
            <u/>
            <sz val="9"/>
            <color indexed="81"/>
            <rFont val="Tahoma"/>
            <family val="2"/>
          </rPr>
          <t>France 140 dealerships:</t>
        </r>
        <r>
          <rPr>
            <sz val="9"/>
            <color indexed="81"/>
            <rFont val="Tahoma"/>
            <family val="2"/>
          </rPr>
          <t xml:space="preserve">
</t>
        </r>
        <r>
          <rPr>
            <u/>
            <sz val="9"/>
            <color indexed="81"/>
            <rFont val="Tahoma"/>
            <family val="2"/>
          </rPr>
          <t xml:space="preserve">Belgium 29  dealershiips
Spain: 32 dealerships
</t>
        </r>
        <r>
          <rPr>
            <sz val="9"/>
            <color indexed="81"/>
            <rFont val="Tahoma"/>
            <family val="2"/>
          </rPr>
          <t xml:space="preserve">
</t>
        </r>
      </text>
    </comment>
    <comment ref="N24" authorId="3" shapeId="0" xr:uid="{00000000-0006-0000-0100-000015000000}">
      <text>
        <r>
          <rPr>
            <b/>
            <sz val="9"/>
            <color indexed="81"/>
            <rFont val="Tahoma"/>
            <family val="2"/>
          </rPr>
          <t>Christophe:</t>
        </r>
        <r>
          <rPr>
            <sz val="9"/>
            <color indexed="81"/>
            <rFont val="Tahoma"/>
            <family val="2"/>
          </rPr>
          <t xml:space="preserve">
includes revenues achieved in France, Belgium and Switzerland</t>
        </r>
      </text>
    </comment>
    <comment ref="Q24" authorId="2" shapeId="0" xr:uid="{00000000-0006-0000-0100-000016000000}">
      <text>
        <r>
          <rPr>
            <b/>
            <sz val="9"/>
            <color indexed="81"/>
            <rFont val="Tahoma"/>
            <family val="2"/>
          </rPr>
          <t>Peter Bailey:</t>
        </r>
        <r>
          <rPr>
            <sz val="9"/>
            <color indexed="81"/>
            <rFont val="Tahoma"/>
            <family val="2"/>
          </rPr>
          <t xml:space="preserve">
Split by
19000 retail
10600 wholesale</t>
        </r>
      </text>
    </comment>
    <comment ref="I25" authorId="0" shapeId="0" xr:uid="{00000000-0006-0000-0100-000017000000}">
      <text>
        <r>
          <rPr>
            <b/>
            <sz val="9"/>
            <color indexed="81"/>
            <rFont val="Tahoma"/>
            <family val="2"/>
          </rPr>
          <t>PB:</t>
        </r>
        <r>
          <rPr>
            <sz val="9"/>
            <color indexed="81"/>
            <rFont val="Tahoma"/>
            <family val="2"/>
          </rPr>
          <t xml:space="preserve">
MB 25, BM 13, MN 12, SM 20, HY 14, KI 6, BYD 14, TO 13, LX 4, SU 3, CJ 9, AR 2, AB 1, FI 1,  MB COMM 19, FI PRO 1, TO PRO 12, INEOS 7, KGM 26 (Source website)</t>
        </r>
      </text>
    </comment>
    <comment ref="I26" authorId="0" shapeId="0" xr:uid="{00000000-0006-0000-0100-000018000000}">
      <text>
        <r>
          <rPr>
            <b/>
            <sz val="9"/>
            <color indexed="81"/>
            <rFont val="Tahoma"/>
            <family val="2"/>
          </rPr>
          <t>Peter Bailey:</t>
        </r>
        <r>
          <rPr>
            <sz val="9"/>
            <color indexed="81"/>
            <rFont val="Tahoma"/>
            <family val="2"/>
          </rPr>
          <t xml:space="preserve">
excludes 15 service only points, 1 used car</t>
        </r>
      </text>
    </comment>
    <comment ref="G27" authorId="1" shapeId="0" xr:uid="{00000000-0006-0000-0100-000019000000}">
      <text>
        <r>
          <rPr>
            <b/>
            <sz val="9"/>
            <color indexed="81"/>
            <rFont val="Tahoma"/>
            <family val="2"/>
          </rPr>
          <t xml:space="preserve">Christophe:
</t>
        </r>
        <r>
          <rPr>
            <sz val="9"/>
            <color indexed="81"/>
            <rFont val="Tahoma"/>
            <family val="2"/>
          </rPr>
          <t>From company website visited on the 25-09-2023
No more Opel franchise</t>
        </r>
      </text>
    </comment>
    <comment ref="I27" authorId="0" shapeId="0" xr:uid="{00000000-0006-0000-0100-00001A000000}">
      <text>
        <r>
          <rPr>
            <b/>
            <sz val="9"/>
            <color indexed="81"/>
            <rFont val="Tahoma"/>
            <family val="2"/>
          </rPr>
          <t>PeterBailey:
Total concessions taken from website</t>
        </r>
      </text>
    </comment>
    <comment ref="M27" authorId="1" shapeId="0" xr:uid="{00000000-0006-0000-0100-00001B000000}">
      <text>
        <r>
          <rPr>
            <b/>
            <sz val="9"/>
            <color indexed="81"/>
            <rFont val="Tahoma"/>
            <family val="2"/>
          </rPr>
          <t>Christophe:</t>
        </r>
        <r>
          <rPr>
            <sz val="9"/>
            <color indexed="81"/>
            <rFont val="Tahoma"/>
            <family val="2"/>
          </rPr>
          <t xml:space="preserve">
Trucks (Renault Trucks)
Agricultural machinery distribution (Claas)
Daily and long term rental for PCs and CVs
MOT
Workshop equipment
Roadside assistance and towing</t>
        </r>
      </text>
    </comment>
    <comment ref="Q27" authorId="2" shapeId="0" xr:uid="{00000000-0006-0000-0100-00001C000000}">
      <text>
        <r>
          <rPr>
            <b/>
            <sz val="9"/>
            <color indexed="81"/>
            <rFont val="Tahoma"/>
            <family val="2"/>
          </rPr>
          <t>Peter Bailey:</t>
        </r>
        <r>
          <rPr>
            <sz val="9"/>
            <color indexed="81"/>
            <rFont val="Tahoma"/>
            <family val="2"/>
          </rPr>
          <t xml:space="preserve">
31583 Retail
14493 wholesale
Source J d'A
</t>
        </r>
      </text>
    </comment>
    <comment ref="J28" authorId="1" shapeId="0" xr:uid="{00000000-0006-0000-0100-00001D000000}">
      <text>
        <r>
          <rPr>
            <b/>
            <sz val="9"/>
            <color indexed="81"/>
            <rFont val="Tahoma"/>
            <family val="2"/>
          </rPr>
          <t>Christophe:</t>
        </r>
        <r>
          <rPr>
            <sz val="9"/>
            <color indexed="81"/>
            <rFont val="Tahoma"/>
            <family val="2"/>
          </rPr>
          <t xml:space="preserve">
Belgium
Switzerland
UK
Czech Rep</t>
        </r>
      </text>
    </comment>
    <comment ref="M28" authorId="2" shapeId="0" xr:uid="{00000000-0006-0000-0100-00001E000000}">
      <text>
        <r>
          <rPr>
            <b/>
            <sz val="9"/>
            <color indexed="81"/>
            <rFont val="Tahoma"/>
            <family val="2"/>
          </rPr>
          <t>Auteur:</t>
        </r>
        <r>
          <rPr>
            <sz val="9"/>
            <color indexed="81"/>
            <rFont val="Tahoma"/>
            <family val="2"/>
          </rPr>
          <t xml:space="preserve">
CVs/ Trucks
Boats (Benneteau)
Classic cars (www.saga-classic.com)</t>
        </r>
      </text>
    </comment>
    <comment ref="N28" authorId="1" shapeId="0" xr:uid="{00000000-0006-0000-0100-00001F000000}">
      <text>
        <r>
          <rPr>
            <b/>
            <sz val="9"/>
            <color indexed="81"/>
            <rFont val="Tahoma"/>
            <family val="2"/>
          </rPr>
          <t>Christophe:</t>
        </r>
        <r>
          <rPr>
            <sz val="9"/>
            <color indexed="81"/>
            <rFont val="Tahoma"/>
            <family val="2"/>
          </rPr>
          <t xml:space="preserve">
Includes CV/ Boats businesses and revenues achieved in all 3 countries</t>
        </r>
      </text>
    </comment>
    <comment ref="Q28" authorId="3" shapeId="0" xr:uid="{00000000-0006-0000-0100-000020000000}">
      <text>
        <r>
          <rPr>
            <b/>
            <sz val="9"/>
            <color indexed="81"/>
            <rFont val="Tahoma"/>
            <family val="2"/>
          </rPr>
          <t>No retail/ wholesale split</t>
        </r>
      </text>
    </comment>
    <comment ref="Q29" authorId="0" shapeId="0" xr:uid="{00000000-0006-0000-0100-000021000000}">
      <text>
        <r>
          <rPr>
            <b/>
            <sz val="9"/>
            <color indexed="81"/>
            <rFont val="Tahoma"/>
            <family val="2"/>
          </rPr>
          <t>Peter Bailey:</t>
        </r>
        <r>
          <rPr>
            <sz val="9"/>
            <color indexed="81"/>
            <rFont val="Tahoma"/>
            <family val="2"/>
          </rPr>
          <t xml:space="preserve">
25333 Retail
13422 Wholesale</t>
        </r>
      </text>
    </comment>
    <comment ref="I30" authorId="0" shapeId="0" xr:uid="{00000000-0006-0000-0100-000022000000}">
      <text>
        <r>
          <rPr>
            <b/>
            <sz val="9"/>
            <color indexed="81"/>
            <rFont val="Tahoma"/>
            <family val="2"/>
          </rPr>
          <t>Peter Bailey:</t>
        </r>
        <r>
          <rPr>
            <sz val="9"/>
            <color indexed="81"/>
            <rFont val="Tahoma"/>
            <family val="2"/>
          </rPr>
          <t xml:space="preserve">
</t>
        </r>
        <r>
          <rPr>
            <b/>
            <sz val="9"/>
            <color indexed="81"/>
            <rFont val="Tahoma"/>
            <family val="2"/>
          </rPr>
          <t>CH 57
IT 10
DE 28
AT 9
LUX 5</t>
        </r>
      </text>
    </comment>
    <comment ref="I33" authorId="0" shapeId="0" xr:uid="{00000000-0006-0000-0100-000023000000}">
      <text>
        <r>
          <rPr>
            <b/>
            <sz val="9"/>
            <color indexed="81"/>
            <rFont val="Tahoma"/>
            <family val="2"/>
          </rPr>
          <t>Peter Bailey:</t>
        </r>
        <r>
          <rPr>
            <sz val="9"/>
            <color indexed="81"/>
            <rFont val="Tahoma"/>
            <family val="2"/>
          </rPr>
          <t xml:space="preserve">
Total as per website</t>
        </r>
      </text>
    </comment>
    <comment ref="Q33" authorId="3" shapeId="0" xr:uid="{00000000-0006-0000-0100-000024000000}">
      <text>
        <r>
          <rPr>
            <b/>
            <sz val="9"/>
            <color indexed="81"/>
            <rFont val="Tahoma"/>
            <family val="2"/>
          </rPr>
          <t>No retail/ wholesale split</t>
        </r>
      </text>
    </comment>
    <comment ref="M34" authorId="2" shapeId="0" xr:uid="{00000000-0006-0000-0100-000025000000}">
      <text>
        <r>
          <rPr>
            <b/>
            <sz val="9"/>
            <color indexed="81"/>
            <rFont val="Tahoma"/>
            <family val="2"/>
          </rPr>
          <t>Christophe:</t>
        </r>
        <r>
          <rPr>
            <sz val="9"/>
            <color indexed="81"/>
            <rFont val="Tahoma"/>
            <family val="2"/>
          </rPr>
          <t xml:space="preserve">
Trucks (MB)
Motorcycles
https://www.groupechopard.com/notre-groupe/presentation-du-groupe/</t>
        </r>
      </text>
    </comment>
    <comment ref="Q34" authorId="3" shapeId="0" xr:uid="{00000000-0006-0000-0100-000026000000}">
      <text>
        <r>
          <rPr>
            <b/>
            <sz val="9"/>
            <color indexed="81"/>
            <rFont val="Tahoma"/>
            <family val="2"/>
          </rPr>
          <t>Peter Bailey:</t>
        </r>
        <r>
          <rPr>
            <sz val="9"/>
            <color indexed="81"/>
            <rFont val="Tahoma"/>
            <family val="2"/>
          </rPr>
          <t xml:space="preserve">
retail:18912
wholesale: 10645
\source: J d'A</t>
        </r>
      </text>
    </comment>
    <comment ref="I35" authorId="3" shapeId="0" xr:uid="{00000000-0006-0000-0100-000027000000}">
      <text>
        <r>
          <rPr>
            <b/>
            <sz val="9"/>
            <color indexed="81"/>
            <rFont val="Tahoma"/>
            <family val="2"/>
          </rPr>
          <t>Peter Bailey:</t>
        </r>
        <r>
          <rPr>
            <sz val="9"/>
            <color indexed="81"/>
            <rFont val="Tahoma"/>
            <family val="2"/>
          </rPr>
          <t xml:space="preserve">
Totaled from wbsite, Includes 32 HCV siteS</t>
        </r>
      </text>
    </comment>
    <comment ref="Q35" authorId="0" shapeId="0" xr:uid="{00000000-0006-0000-0100-000028000000}">
      <text>
        <r>
          <rPr>
            <b/>
            <sz val="9"/>
            <color indexed="81"/>
            <rFont val="Tahoma"/>
            <family val="2"/>
          </rPr>
          <t>Peter Bailey:</t>
        </r>
        <r>
          <rPr>
            <sz val="9"/>
            <color indexed="81"/>
            <rFont val="Tahoma"/>
            <family val="2"/>
          </rPr>
          <t xml:space="preserve">
11,000 Retail
4,000 Wholesale</t>
        </r>
      </text>
    </comment>
    <comment ref="I36" authorId="0" shapeId="0" xr:uid="{00000000-0006-0000-0100-000029000000}">
      <text>
        <r>
          <rPr>
            <b/>
            <sz val="9"/>
            <color indexed="81"/>
            <rFont val="Tahoma"/>
            <family val="2"/>
          </rPr>
          <t>Peter Bailey:</t>
        </r>
        <r>
          <rPr>
            <sz val="9"/>
            <color indexed="81"/>
            <rFont val="Tahoma"/>
            <family val="2"/>
          </rPr>
          <t xml:space="preserve">
exxcludes 38 service only points and 8 Body &amp; Paint</t>
        </r>
      </text>
    </comment>
    <comment ref="H37" authorId="0" shapeId="0" xr:uid="{00000000-0006-0000-0100-00002A000000}">
      <text>
        <r>
          <rPr>
            <b/>
            <sz val="9"/>
            <color indexed="81"/>
            <rFont val="Tahoma"/>
            <family val="2"/>
          </rPr>
          <t>Peter Bailey:</t>
        </r>
        <r>
          <rPr>
            <sz val="9"/>
            <color indexed="81"/>
            <rFont val="Tahoma"/>
            <family val="2"/>
          </rPr>
          <t xml:space="preserve">
inc  BM Motorrad, Triumph bikes</t>
        </r>
      </text>
    </comment>
    <comment ref="I37" authorId="0" shapeId="0" xr:uid="{00000000-0006-0000-0100-00002B000000}">
      <text>
        <r>
          <rPr>
            <b/>
            <sz val="9"/>
            <color indexed="81"/>
            <rFont val="Tahoma"/>
            <family val="2"/>
          </rPr>
          <t>Peter Bailey:</t>
        </r>
        <r>
          <rPr>
            <sz val="9"/>
            <color indexed="81"/>
            <rFont val="Tahoma"/>
            <family val="2"/>
          </rPr>
          <t xml:space="preserve">
total from website</t>
        </r>
      </text>
    </comment>
    <comment ref="J37" authorId="3" shapeId="0" xr:uid="{00000000-0006-0000-0100-00002C000000}">
      <text>
        <r>
          <rPr>
            <b/>
            <sz val="9"/>
            <color indexed="81"/>
            <rFont val="Tahoma"/>
            <family val="2"/>
          </rPr>
          <t>33630:</t>
        </r>
        <r>
          <rPr>
            <sz val="9"/>
            <color indexed="81"/>
            <rFont val="Tahoma"/>
            <family val="2"/>
          </rPr>
          <t xml:space="preserve">
France 
Belgium</t>
        </r>
      </text>
    </comment>
    <comment ref="M37" authorId="2" shapeId="0" xr:uid="{00000000-0006-0000-0100-00002D000000}">
      <text>
        <r>
          <rPr>
            <b/>
            <sz val="9"/>
            <color indexed="81"/>
            <rFont val="Tahoma"/>
            <family val="2"/>
          </rPr>
          <t>Auteur:</t>
        </r>
        <r>
          <rPr>
            <sz val="9"/>
            <color indexed="81"/>
            <rFont val="Tahoma"/>
            <family val="2"/>
          </rPr>
          <t xml:space="preserve">
CVs/ Trucks
Boats (Benneteau)
Classic cars (www.saga-classic.com)</t>
        </r>
      </text>
    </comment>
    <comment ref="I39" authorId="0" shapeId="0" xr:uid="{00000000-0006-0000-0100-00002E000000}">
      <text>
        <r>
          <rPr>
            <b/>
            <sz val="9"/>
            <color indexed="81"/>
            <rFont val="Tahoma"/>
            <family val="2"/>
          </rPr>
          <t>Peter Bailey:</t>
        </r>
        <r>
          <rPr>
            <sz val="9"/>
            <color indexed="81"/>
            <rFont val="Tahoma"/>
            <family val="2"/>
          </rPr>
          <t xml:space="preserve">
inc German acquisition in 2025 with 9 sales points</t>
        </r>
      </text>
    </comment>
    <comment ref="J39" authorId="2" shapeId="0" xr:uid="{00000000-0006-0000-0100-00002F000000}">
      <text>
        <r>
          <rPr>
            <b/>
            <sz val="9"/>
            <color indexed="81"/>
            <rFont val="Tahoma"/>
            <family val="2"/>
          </rPr>
          <t>Christophe:</t>
        </r>
        <r>
          <rPr>
            <sz val="9"/>
            <color indexed="81"/>
            <rFont val="Tahoma"/>
            <family val="2"/>
          </rPr>
          <t xml:space="preserve">
Luxembourg + Belgium + Switzerland</t>
        </r>
      </text>
    </comment>
    <comment ref="Q39" authorId="3" shapeId="0" xr:uid="{00000000-0006-0000-0100-000030000000}">
      <text>
        <r>
          <rPr>
            <b/>
            <sz val="9"/>
            <color indexed="81"/>
            <rFont val="Tahoma"/>
            <family val="2"/>
          </rPr>
          <t>Peter Bailey:</t>
        </r>
        <r>
          <rPr>
            <sz val="9"/>
            <color indexed="81"/>
            <rFont val="Tahoma"/>
            <family val="2"/>
          </rPr>
          <t xml:space="preserve">
retail: 14,000
wholesale: 8000</t>
        </r>
      </text>
    </comment>
    <comment ref="I41" authorId="0" shapeId="0" xr:uid="{00000000-0006-0000-0100-000031000000}">
      <text>
        <r>
          <rPr>
            <b/>
            <sz val="9"/>
            <color indexed="81"/>
            <rFont val="Tahoma"/>
            <family val="2"/>
          </rPr>
          <t>Peter Bailey:</t>
        </r>
        <r>
          <rPr>
            <sz val="9"/>
            <color indexed="81"/>
            <rFont val="Tahoma"/>
            <family val="2"/>
          </rPr>
          <t xml:space="preserve">
Cars 64, Trucks 34</t>
        </r>
      </text>
    </comment>
    <comment ref="I42" authorId="0" shapeId="0" xr:uid="{00000000-0006-0000-0100-000032000000}">
      <text>
        <r>
          <rPr>
            <b/>
            <sz val="9"/>
            <color indexed="81"/>
            <rFont val="Tahoma"/>
            <family val="2"/>
          </rPr>
          <t>Peter Bailey:</t>
        </r>
        <r>
          <rPr>
            <sz val="9"/>
            <color indexed="81"/>
            <rFont val="Tahoma"/>
            <family val="2"/>
          </rPr>
          <t xml:space="preserve">
AU 11 exc 7 service, 
VW 16 exc 5 service,
VW COMM 11 exc 6 service,
SK 10 exc 6 service, SE 11 exc 2 service, CU 11 exc 2 service, PO 3, INEOS 2, Exc MAN Service</t>
        </r>
      </text>
    </comment>
    <comment ref="I46" authorId="0" shapeId="0" xr:uid="{00000000-0006-0000-0100-000033000000}">
      <text>
        <r>
          <rPr>
            <b/>
            <sz val="9"/>
            <color indexed="81"/>
            <rFont val="Tahoma"/>
            <family val="2"/>
          </rPr>
          <t>Peter Bailey:</t>
        </r>
        <r>
          <rPr>
            <sz val="9"/>
            <color indexed="81"/>
            <rFont val="Tahoma"/>
            <family val="2"/>
          </rPr>
          <t xml:space="preserve">
total calculated from website</t>
        </r>
      </text>
    </comment>
    <comment ref="Q46" authorId="0" shapeId="0" xr:uid="{00000000-0006-0000-0100-000034000000}">
      <text>
        <r>
          <rPr>
            <b/>
            <sz val="9"/>
            <color indexed="81"/>
            <rFont val="Tahoma"/>
            <family val="2"/>
          </rPr>
          <t>Peter Bailey:</t>
        </r>
        <r>
          <rPr>
            <sz val="9"/>
            <color indexed="81"/>
            <rFont val="Tahoma"/>
            <family val="2"/>
          </rPr>
          <t xml:space="preserve">
14500 retail
10000 wholesale
Source: J d A
</t>
        </r>
      </text>
    </comment>
    <comment ref="I50" authorId="0" shapeId="0" xr:uid="{00000000-0006-0000-0100-000035000000}">
      <text>
        <r>
          <rPr>
            <b/>
            <sz val="9"/>
            <color indexed="81"/>
            <rFont val="Tahoma"/>
            <family val="2"/>
          </rPr>
          <t>Peter Bailey:</t>
        </r>
        <r>
          <rPr>
            <sz val="9"/>
            <color indexed="81"/>
            <rFont val="Tahoma"/>
            <family val="2"/>
          </rPr>
          <t xml:space="preserve">
93 franchised sales points
AT 71
HU 19
CH 3</t>
        </r>
      </text>
    </comment>
    <comment ref="I51" authorId="4" shapeId="0" xr:uid="{00000000-0006-0000-0100-000036000000}">
      <text>
        <r>
          <rPr>
            <b/>
            <sz val="9"/>
            <color indexed="81"/>
            <rFont val="Tahoma"/>
            <family val="2"/>
          </rPr>
          <t xml:space="preserve">Peter Bailey:
Germany
</t>
        </r>
        <r>
          <rPr>
            <sz val="9"/>
            <color indexed="81"/>
            <rFont val="Tahoma"/>
            <family val="2"/>
          </rPr>
          <t xml:space="preserve">12 MB Car, 8 MB LCV, 4 MB Truck, 2 Smart, 2 Volvo, 1 Ferrari, 5 Fuso, 1 INEOS
</t>
        </r>
        <r>
          <rPr>
            <b/>
            <sz val="9"/>
            <color indexed="81"/>
            <rFont val="Tahoma"/>
            <family val="2"/>
          </rPr>
          <t>Switzerland</t>
        </r>
        <r>
          <rPr>
            <sz val="9"/>
            <color indexed="81"/>
            <rFont val="Tahoma"/>
            <family val="2"/>
          </rPr>
          <t xml:space="preserve">
3 MB Car, 3 MB LCV, 3 Smart</t>
        </r>
      </text>
    </comment>
    <comment ref="I52" authorId="0" shapeId="0" xr:uid="{00000000-0006-0000-0100-000037000000}">
      <text>
        <r>
          <rPr>
            <b/>
            <sz val="9"/>
            <color indexed="81"/>
            <rFont val="Tahoma"/>
            <family val="2"/>
          </rPr>
          <t>Peter Bailey:</t>
        </r>
        <r>
          <rPr>
            <sz val="9"/>
            <color indexed="81"/>
            <rFont val="Tahoma"/>
            <family val="2"/>
          </rPr>
          <t xml:space="preserve">
MB 35
PE 31
KI 28
OP 4
CI 9
DS 4
SM 7
MB COMM 4
MB HCV 2
FUSO 11
</t>
        </r>
      </text>
    </comment>
    <comment ref="O52" authorId="5" shapeId="0" xr:uid="{00000000-0006-0000-0100-000038000000}">
      <text>
        <r>
          <rPr>
            <b/>
            <sz val="9"/>
            <color indexed="81"/>
            <rFont val="Tahoma"/>
            <family val="2"/>
          </rPr>
          <t>Ole Marius Kirkeng:</t>
        </r>
        <r>
          <rPr>
            <sz val="9"/>
            <color indexed="81"/>
            <rFont val="Tahoma"/>
            <family val="2"/>
          </rPr>
          <t xml:space="preserve">
Units sold from importer minus(-) units sold by retail dealers owned by BOS</t>
        </r>
      </text>
    </comment>
    <comment ref="P52" authorId="5" shapeId="0" xr:uid="{00000000-0006-0000-0100-000039000000}">
      <text>
        <r>
          <rPr>
            <b/>
            <sz val="9"/>
            <color indexed="81"/>
            <rFont val="Tahoma"/>
            <family val="2"/>
          </rPr>
          <t>Ole Marius Kirkeng:</t>
        </r>
        <r>
          <rPr>
            <sz val="9"/>
            <color indexed="81"/>
            <rFont val="Tahoma"/>
            <family val="2"/>
          </rPr>
          <t xml:space="preserve">
Units sold through retail dealers owned by BOS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Pascal Haubenreisser</author>
    <author>montagner</author>
    <author>Christophe</author>
    <author>33630</author>
    <author>Peter Bailey</author>
  </authors>
  <commentList>
    <comment ref="L4" authorId="0" shapeId="0" xr:uid="{6F071E7D-A473-4B8D-82BF-E8576E285435}">
      <text>
        <r>
          <rPr>
            <b/>
            <sz val="9"/>
            <color indexed="81"/>
            <rFont val="Tahoma"/>
            <family val="2"/>
          </rPr>
          <t>Pascal Haubenreisser:</t>
        </r>
        <r>
          <rPr>
            <sz val="9"/>
            <color indexed="81"/>
            <rFont val="Tahoma"/>
            <family val="2"/>
          </rPr>
          <t xml:space="preserve">
Estimation is 20% of 2018 BMW new car sales 
"Etwa 20 Prozent der Neufahrzeuge werden über die BMW-Niederlassungen vertrieben, rund 80 Prozent über freie Händler, schätzt ein Betriebsrat des bayerischen Automobilherstellers."  --&gt; same assumption amde for 2019
https://www.automobilwoche.de/article/20180919/BCONLINE/180919832/exklusiv---neustrukturierung-deutschland-vertrieb-bmw-erwaegt-niederlassungsverkaeufe</t>
        </r>
      </text>
    </comment>
    <comment ref="E6" authorId="1" shapeId="0" xr:uid="{265EF8C0-423F-425E-A7AE-2EBB01ADF51C}">
      <text>
        <r>
          <rPr>
            <b/>
            <sz val="9"/>
            <color indexed="81"/>
            <rFont val="Tahoma"/>
            <family val="2"/>
          </rPr>
          <t>montagner:</t>
        </r>
        <r>
          <rPr>
            <sz val="9"/>
            <color indexed="81"/>
            <rFont val="Tahoma"/>
            <family val="2"/>
          </rPr>
          <t xml:space="preserve">
3 BMW and 2 Mini</t>
        </r>
      </text>
    </comment>
    <comment ref="K6" authorId="1" shapeId="0" xr:uid="{9A5D2B4C-67FB-45FF-8442-FE912C95EA08}">
      <text>
        <r>
          <rPr>
            <b/>
            <sz val="9"/>
            <color indexed="81"/>
            <rFont val="Tahoma"/>
            <family val="2"/>
          </rPr>
          <t>montagner:</t>
        </r>
        <r>
          <rPr>
            <sz val="9"/>
            <color indexed="81"/>
            <rFont val="Tahoma"/>
            <family val="2"/>
          </rPr>
          <t xml:space="preserve">
Excluding motorbikes</t>
        </r>
      </text>
    </comment>
    <comment ref="M6" authorId="1" shapeId="0" xr:uid="{DEA810C0-5194-490A-9D67-159584E1F634}">
      <text>
        <r>
          <rPr>
            <b/>
            <sz val="9"/>
            <color indexed="81"/>
            <rFont val="Tahoma"/>
            <family val="2"/>
          </rPr>
          <t>montagner:</t>
        </r>
        <r>
          <rPr>
            <sz val="9"/>
            <color indexed="81"/>
            <rFont val="Tahoma"/>
            <family val="2"/>
          </rPr>
          <t xml:space="preserve">
Excluding motorbikes</t>
        </r>
      </text>
    </comment>
    <comment ref="E7" authorId="2" shapeId="0" xr:uid="{2FB58BD4-E895-4452-B7C9-BB3C25F9C987}">
      <text>
        <r>
          <rPr>
            <b/>
            <sz val="9"/>
            <color indexed="81"/>
            <rFont val="Tahoma"/>
            <family val="2"/>
          </rPr>
          <t>Christophe:</t>
        </r>
        <r>
          <rPr>
            <sz val="9"/>
            <color indexed="81"/>
            <rFont val="Tahoma"/>
            <family val="2"/>
          </rPr>
          <t xml:space="preserve">
Source: Guide des Groupes Autoactu
(number of franchise signs)
2 BMW
2 MINI</t>
        </r>
      </text>
    </comment>
    <comment ref="K7" authorId="3" shapeId="0" xr:uid="{3DE74747-4422-4068-8F79-CAEC6418E9A0}">
      <text>
        <r>
          <rPr>
            <b/>
            <sz val="9"/>
            <color indexed="81"/>
            <rFont val="Tahoma"/>
            <family val="2"/>
          </rPr>
          <t>33630:</t>
        </r>
        <r>
          <rPr>
            <sz val="9"/>
            <color indexed="81"/>
            <rFont val="Tahoma"/>
            <family val="2"/>
          </rPr>
          <t xml:space="preserve">
estimates</t>
        </r>
      </text>
    </comment>
    <comment ref="E10" authorId="4" shapeId="0" xr:uid="{43E1060A-6DD9-46C0-9099-FF079DF69B5C}">
      <text>
        <r>
          <rPr>
            <b/>
            <sz val="9"/>
            <color indexed="81"/>
            <rFont val="Tahoma"/>
            <family val="2"/>
          </rPr>
          <t>Peter Bailey:</t>
        </r>
        <r>
          <rPr>
            <sz val="9"/>
            <color indexed="81"/>
            <rFont val="Tahoma"/>
            <family val="2"/>
          </rPr>
          <t xml:space="preserve">
26 car, 21 Transit, 1 service</t>
        </r>
      </text>
    </comment>
    <comment ref="E14" authorId="2" shapeId="0" xr:uid="{6C96A364-9BDC-443F-B982-1F1BC2E8CC9F}">
      <text>
        <r>
          <rPr>
            <b/>
            <sz val="9"/>
            <color indexed="81"/>
            <rFont val="Tahoma"/>
            <family val="2"/>
          </rPr>
          <t>Christophe:</t>
        </r>
        <r>
          <rPr>
            <sz val="9"/>
            <color indexed="81"/>
            <rFont val="Tahoma"/>
            <family val="2"/>
          </rPr>
          <t xml:space="preserve">
Source Guide des groupes autoactu 2022
8 MB + 1 Service only
3 Smart</t>
        </r>
      </text>
    </comment>
    <comment ref="E20" authorId="4" shapeId="0" xr:uid="{DEA5B93F-5867-4A7D-9878-E57F6ECCABB5}">
      <text>
        <r>
          <rPr>
            <b/>
            <sz val="9"/>
            <color indexed="81"/>
            <rFont val="Tahoma"/>
            <family val="2"/>
          </rPr>
          <t>Christophe:</t>
        </r>
        <r>
          <rPr>
            <sz val="9"/>
            <color indexed="81"/>
            <rFont val="Tahoma"/>
            <family val="2"/>
          </rPr>
          <t xml:space="preserve">
Website
PE 43
CI 44
LEAPMOTOR  23
DS 22
ABARTH 9
FIAT 9
ALFA 7
FIAT PRO 5
OPEL 6
JEEP 5
LANCIA 3</t>
        </r>
      </text>
    </comment>
    <comment ref="E34" authorId="4" shapeId="0" xr:uid="{41BE0C20-CA7E-450E-B52B-464D249BFCEC}">
      <text>
        <r>
          <rPr>
            <b/>
            <sz val="9"/>
            <color indexed="81"/>
            <rFont val="Tahoma"/>
            <family val="2"/>
          </rPr>
          <t>Peter Bailey:</t>
        </r>
        <r>
          <rPr>
            <sz val="9"/>
            <color indexed="81"/>
            <rFont val="Tahoma"/>
            <family val="2"/>
          </rPr>
          <t xml:space="preserve">
RE 25
DC 18
ALP 4
Source: website</t>
        </r>
      </text>
    </comment>
    <comment ref="M34" authorId="3" shapeId="0" xr:uid="{5FF25ACA-17B7-4D57-9B4E-46D3ECD48536}">
      <text>
        <r>
          <rPr>
            <b/>
            <sz val="9"/>
            <color indexed="81"/>
            <rFont val="Tahoma"/>
            <family val="2"/>
          </rPr>
          <t>Retail</t>
        </r>
      </text>
    </comment>
    <comment ref="O34" authorId="4" shapeId="0" xr:uid="{A1B19A0C-A4EE-4041-9D85-2999BB8D8558}">
      <text>
        <r>
          <rPr>
            <b/>
            <sz val="9"/>
            <color indexed="81"/>
            <rFont val="Tahoma"/>
            <family val="2"/>
          </rPr>
          <t>Peter Bailey:</t>
        </r>
        <r>
          <rPr>
            <sz val="9"/>
            <color indexed="81"/>
            <rFont val="Tahoma"/>
            <family val="2"/>
          </rPr>
          <t xml:space="preserve">
Sources: wesbite, AutoActu</t>
        </r>
      </text>
    </comment>
    <comment ref="E46" authorId="4" shapeId="0" xr:uid="{685A2ECE-373C-4136-B91F-EF83DFA90067}">
      <text>
        <r>
          <rPr>
            <b/>
            <sz val="9"/>
            <color indexed="81"/>
            <rFont val="Tahoma"/>
            <family val="2"/>
          </rPr>
          <t>Peter Bailey:</t>
        </r>
        <r>
          <rPr>
            <sz val="9"/>
            <color indexed="81"/>
            <rFont val="Tahoma"/>
            <family val="2"/>
          </rPr>
          <t xml:space="preserve">
AT 148, CZ 36, CRO 21, HU 25, IT 45, PL 26, RO 19, SLO 16, SK 9</t>
        </r>
      </text>
    </comment>
    <comment ref="E56" authorId="3" shapeId="0" xr:uid="{097D5B2E-A113-4EB9-A136-63A133E51CAC}">
      <text>
        <r>
          <rPr>
            <b/>
            <sz val="9"/>
            <color indexed="81"/>
            <rFont val="Tahoma"/>
            <family val="2"/>
          </rPr>
          <t>Source: website</t>
        </r>
      </text>
    </comment>
    <comment ref="E59" authorId="4" shapeId="0" xr:uid="{3456160F-05D0-410E-A2B0-E1C75A619323}">
      <text>
        <r>
          <rPr>
            <b/>
            <sz val="9"/>
            <color indexed="81"/>
            <rFont val="Tahoma"/>
            <family val="2"/>
          </rPr>
          <t>Peter Bailey:</t>
        </r>
        <r>
          <rPr>
            <sz val="9"/>
            <color indexed="81"/>
            <rFont val="Tahoma"/>
            <family val="2"/>
          </rPr>
          <t xml:space="preserve">
Volvo 9
Polestar 11 service</t>
        </r>
      </text>
    </comment>
  </commentList>
</comments>
</file>

<file path=xl/sharedStrings.xml><?xml version="1.0" encoding="utf-8"?>
<sst xmlns="http://schemas.openxmlformats.org/spreadsheetml/2006/main" count="1140" uniqueCount="591">
  <si>
    <t>2013-2014 Variance</t>
  </si>
  <si>
    <t>2014-2015  Variance</t>
  </si>
  <si>
    <t>2015-2016  Variance</t>
  </si>
  <si>
    <t>2016-2017 Variance</t>
  </si>
  <si>
    <t>2017-2018 Variance</t>
  </si>
  <si>
    <t>2018-2019 Variance</t>
  </si>
  <si>
    <t>2019-2020 Variance</t>
  </si>
  <si>
    <t>2020-2021 Variance</t>
  </si>
  <si>
    <t>2013-2016 Variance</t>
  </si>
  <si>
    <t>2013-2017 Variance</t>
  </si>
  <si>
    <t>2013-2018 Variance</t>
  </si>
  <si>
    <t>2013-2019 Variance</t>
  </si>
  <si>
    <t>2013-2020 Variance</t>
  </si>
  <si>
    <t>2013-2021 Variance</t>
  </si>
  <si>
    <t xml:space="preserve"> </t>
  </si>
  <si>
    <t>Top10</t>
  </si>
  <si>
    <t>Number of Franchise Points</t>
  </si>
  <si>
    <t>Number of Brands</t>
  </si>
  <si>
    <t>Revenue (Bns)*</t>
  </si>
  <si>
    <t>Top 10</t>
  </si>
  <si>
    <t>New Vehicle Sales excluding wholesales</t>
  </si>
  <si>
    <t>#11-25</t>
  </si>
  <si>
    <t>Used Vehicle Sales</t>
  </si>
  <si>
    <t>#26-50</t>
  </si>
  <si>
    <t>Used:New ratio</t>
  </si>
  <si>
    <t>Numbers 11-25</t>
  </si>
  <si>
    <t>Franchise Points</t>
  </si>
  <si>
    <t xml:space="preserve">  </t>
  </si>
  <si>
    <t>Top 25</t>
  </si>
  <si>
    <t>Numbers 26-50</t>
  </si>
  <si>
    <t>Top 50</t>
  </si>
  <si>
    <t>Market (Motor Vehicles) ACEA:</t>
  </si>
  <si>
    <t>EU+EFTA+UK</t>
  </si>
  <si>
    <t>Total Top 50 New Vehicle Sales excluding wholesales</t>
  </si>
  <si>
    <t>Market Share</t>
  </si>
  <si>
    <t>Total Top 25 New Vehicle Sales excluding wholesales</t>
  </si>
  <si>
    <t>Total Top 10 New Vehicle sales excluding wholesales</t>
  </si>
  <si>
    <t>26-50 New Vehicle Sales excluding wholesales</t>
  </si>
  <si>
    <t>Group</t>
  </si>
  <si>
    <t>Home Country</t>
  </si>
  <si>
    <t>Brands</t>
  </si>
  <si>
    <t>No. of brands</t>
  </si>
  <si>
    <t>No of franchise points</t>
  </si>
  <si>
    <t>Import</t>
  </si>
  <si>
    <t>Retail</t>
  </si>
  <si>
    <t>Other</t>
  </si>
  <si>
    <t>Turnover in € bn</t>
  </si>
  <si>
    <t>New wholesale vehicles</t>
  </si>
  <si>
    <t>New retail vehicles</t>
  </si>
  <si>
    <t>Used vehicles</t>
  </si>
  <si>
    <t>Total Vehicles</t>
  </si>
  <si>
    <t>Year</t>
  </si>
  <si>
    <t xml:space="preserve">Source </t>
  </si>
  <si>
    <t>Notes</t>
  </si>
  <si>
    <t>Emil Frey</t>
  </si>
  <si>
    <t>Switzerland</t>
  </si>
  <si>
    <t>I</t>
  </si>
  <si>
    <t>X</t>
  </si>
  <si>
    <t>Penske Automotive (European Operations only)</t>
  </si>
  <si>
    <t>USA</t>
  </si>
  <si>
    <t>Arnold Clark</t>
  </si>
  <si>
    <t>UK</t>
  </si>
  <si>
    <t>N</t>
  </si>
  <si>
    <t>Vertu</t>
  </si>
  <si>
    <t>Accounts/Annual Report</t>
  </si>
  <si>
    <t>AMAG</t>
  </si>
  <si>
    <t>AU, BE, CU, SE, SK, VW, PO, VW COMM</t>
  </si>
  <si>
    <r>
      <t>Company/ press release/website;</t>
    </r>
    <r>
      <rPr>
        <sz val="11"/>
        <color rgb="FFFF0000"/>
        <rFont val="Calibri"/>
        <family val="2"/>
        <scheme val="minor"/>
      </rPr>
      <t xml:space="preserve"> volume analysis ICDP estimate</t>
    </r>
  </si>
  <si>
    <t>Netherlands</t>
  </si>
  <si>
    <t>Pon Groep</t>
  </si>
  <si>
    <t>Van Mossel Autogroep</t>
  </si>
  <si>
    <t>Van Mossel</t>
  </si>
  <si>
    <t>MoellerBil</t>
  </si>
  <si>
    <t>Norway</t>
  </si>
  <si>
    <t>Bilia</t>
  </si>
  <si>
    <t>Sweden</t>
  </si>
  <si>
    <t>I.A. Hedin Bil</t>
  </si>
  <si>
    <t>D'Ieteren Auto</t>
  </si>
  <si>
    <t>Belgium</t>
  </si>
  <si>
    <t>Germany</t>
  </si>
  <si>
    <t>Semler Gruppen</t>
  </si>
  <si>
    <t>Annual Group report, Semler Group, websites</t>
  </si>
  <si>
    <t>Louwman</t>
  </si>
  <si>
    <t>Group 1 Automotive</t>
  </si>
  <si>
    <t>Bertel O Steen</t>
  </si>
  <si>
    <t>Annual Report, presentation, website, Bertel O Steen</t>
  </si>
  <si>
    <t>France</t>
  </si>
  <si>
    <t>Gottfried Schultz GmbH &amp; Co. KG</t>
  </si>
  <si>
    <t>Journal de l'Automobile + company website</t>
  </si>
  <si>
    <t>Car Avenue</t>
  </si>
  <si>
    <t>Pappas Holding</t>
  </si>
  <si>
    <t>Portugal</t>
  </si>
  <si>
    <t>Feser, Graf &amp; Co. Automobilholding GmbH</t>
  </si>
  <si>
    <t>Maurin</t>
  </si>
  <si>
    <t xml:space="preserve">Senger Group GmbH </t>
  </si>
  <si>
    <t>JCT600</t>
  </si>
  <si>
    <t>Bernard</t>
  </si>
  <si>
    <t>Veho</t>
  </si>
  <si>
    <t>Autotorino</t>
  </si>
  <si>
    <t>Italy</t>
  </si>
  <si>
    <t>Auto Torino website; ICDP Italy</t>
  </si>
  <si>
    <t>RCM</t>
  </si>
  <si>
    <t>LX, MB, MB COMM, MB HCV, PO, TO</t>
  </si>
  <si>
    <t>Greenhous</t>
  </si>
  <si>
    <t>Fahrzeug-Werke LUEG AG</t>
  </si>
  <si>
    <t>Listers</t>
  </si>
  <si>
    <t>Eden Auto</t>
  </si>
  <si>
    <t>Stoneacre Group</t>
  </si>
  <si>
    <t>Accounts</t>
  </si>
  <si>
    <t>GCA Groupe</t>
  </si>
  <si>
    <t>Quadis</t>
  </si>
  <si>
    <t>Spain</t>
  </si>
  <si>
    <t>Scherer Gruppe</t>
  </si>
  <si>
    <t>Average Top 10</t>
  </si>
  <si>
    <t>Average Top 25</t>
  </si>
  <si>
    <t>Average Top 50</t>
  </si>
  <si>
    <t>Average #11-25</t>
  </si>
  <si>
    <t>Average #26-50</t>
  </si>
  <si>
    <t>NOTE THAT SOME DATA HAS BEEN ESTIMATED OR INCOMPLETE* HIGHLIGHTED IN RED FONT</t>
  </si>
  <si>
    <t>OEM Brand and Dealer Company Name</t>
  </si>
  <si>
    <t>Market</t>
  </si>
  <si>
    <t>Other countries of operation</t>
  </si>
  <si>
    <t>Total New Vehicles</t>
  </si>
  <si>
    <t>Total vehicles</t>
  </si>
  <si>
    <t>Source(s)</t>
  </si>
  <si>
    <t>Other Notes</t>
  </si>
  <si>
    <t>BMW</t>
  </si>
  <si>
    <t>BMW Germany</t>
  </si>
  <si>
    <t>BM, MN</t>
  </si>
  <si>
    <t>NA</t>
  </si>
  <si>
    <t>BMW Park Lane</t>
  </si>
  <si>
    <t>BMW Italia Retail</t>
  </si>
  <si>
    <t>BMW Distribution</t>
  </si>
  <si>
    <t>Ford</t>
  </si>
  <si>
    <t>Ford Retail (TrustFord)</t>
  </si>
  <si>
    <t>FO, plus Transit Centres</t>
  </si>
  <si>
    <t>Mercedes-Benz</t>
  </si>
  <si>
    <t>Mercedes Benz Retail</t>
  </si>
  <si>
    <t>MB, SM, MB COMM</t>
  </si>
  <si>
    <t>Stellantis &amp; You, PSA Retail &amp; Fiat Motor Village</t>
  </si>
  <si>
    <t>New/Used split estimated</t>
  </si>
  <si>
    <t>AB, AR, CI, CJ, DS, FI, FI PRO, OP, PE</t>
  </si>
  <si>
    <t>AB, AR, CI, CJ, DS, FI, FI PRO, LA, OP, PE</t>
  </si>
  <si>
    <t>Stellantis &amp; You</t>
  </si>
  <si>
    <t>website</t>
  </si>
  <si>
    <t>Poland</t>
  </si>
  <si>
    <t>Austria</t>
  </si>
  <si>
    <t>Renault Retail Europe</t>
  </si>
  <si>
    <t>RE, DC, NI</t>
  </si>
  <si>
    <t>Which includes the following subsidiaries:</t>
  </si>
  <si>
    <t>RE, DC</t>
  </si>
  <si>
    <t xml:space="preserve"> Renault Retail France</t>
  </si>
  <si>
    <t>RE, DC, ALPINE</t>
  </si>
  <si>
    <t>Renault Retail Espana</t>
  </si>
  <si>
    <t>Source website</t>
  </si>
  <si>
    <t>Renault Retail Germany</t>
  </si>
  <si>
    <t>NI</t>
  </si>
  <si>
    <t>Volkswagen Group</t>
  </si>
  <si>
    <t>Porsche Holding Salzburg</t>
  </si>
  <si>
    <t>See divisions below</t>
  </si>
  <si>
    <t>VW Group</t>
  </si>
  <si>
    <t xml:space="preserve"> - PHS Wholesale (inc. direct retail in Chile, Singapore, small CEE countries)</t>
  </si>
  <si>
    <t>CEE, Colombia, Chile, Malaysia, Singapore, Brunei, Portugal</t>
  </si>
  <si>
    <t xml:space="preserve">AU, BE, PO, SE, SK, VW, VW Comm </t>
  </si>
  <si>
    <t>New retail sales are for Chile, Singapore and small CEE countries</t>
  </si>
  <si>
    <t xml:space="preserve"> - PIA (Porsche Inter Auto) Retail</t>
  </si>
  <si>
    <t xml:space="preserve"> - PIA China (inc in PIA above)</t>
  </si>
  <si>
    <t>China</t>
  </si>
  <si>
    <t xml:space="preserve"> - PIA Japan (inc in PIA above)</t>
  </si>
  <si>
    <t>Japan</t>
  </si>
  <si>
    <t>Employees: NA</t>
  </si>
  <si>
    <t xml:space="preserve">    - Eurocar Holding Italia</t>
  </si>
  <si>
    <t>x</t>
  </si>
  <si>
    <t xml:space="preserve"> - Volkswagen Group Retail</t>
  </si>
  <si>
    <t xml:space="preserve"> - Din Bil Sverige (inc in PIA)</t>
  </si>
  <si>
    <t xml:space="preserve"> - SOAUTO (inc in Volkswagen Group Retail)</t>
  </si>
  <si>
    <t>Porsche Retail GB (owned by Porsche AG not PHS)</t>
  </si>
  <si>
    <t>PO</t>
  </si>
  <si>
    <t>Volvo Car Corporation</t>
  </si>
  <si>
    <t>Volvocars retail</t>
  </si>
  <si>
    <t>VO, POL</t>
  </si>
  <si>
    <t>icdp - TOP 50 EUROPEAN DEALER GROUPS - BRAND KEY</t>
  </si>
  <si>
    <t>Key</t>
  </si>
  <si>
    <t>Brand</t>
  </si>
  <si>
    <t>AB</t>
  </si>
  <si>
    <t>ABARTH</t>
  </si>
  <si>
    <t>AR</t>
  </si>
  <si>
    <t>ALFA ROMEO</t>
  </si>
  <si>
    <t>AM</t>
  </si>
  <si>
    <t>ASTON MARTIN</t>
  </si>
  <si>
    <t>ALP</t>
  </si>
  <si>
    <t>ALPINE</t>
  </si>
  <si>
    <t>AU</t>
  </si>
  <si>
    <t>AUDI</t>
  </si>
  <si>
    <t>BE</t>
  </si>
  <si>
    <t>BENTLEY</t>
  </si>
  <si>
    <t>BM</t>
  </si>
  <si>
    <t>BU</t>
  </si>
  <si>
    <t>BUGATTI</t>
  </si>
  <si>
    <t>BY</t>
  </si>
  <si>
    <t>BYD</t>
  </si>
  <si>
    <t>CA</t>
  </si>
  <si>
    <t>CADILLAC</t>
  </si>
  <si>
    <t>CH</t>
  </si>
  <si>
    <t>CHEVROLET</t>
  </si>
  <si>
    <t>CI</t>
  </si>
  <si>
    <t>CITROEN</t>
  </si>
  <si>
    <t>CJ</t>
  </si>
  <si>
    <t>CHRYSLER-JEEP</t>
  </si>
  <si>
    <t>CO</t>
  </si>
  <si>
    <t>CORVETTE</t>
  </si>
  <si>
    <t>CUP</t>
  </si>
  <si>
    <t>CUPRA</t>
  </si>
  <si>
    <t>DA</t>
  </si>
  <si>
    <t>DAIHATSU</t>
  </si>
  <si>
    <t>DO</t>
  </si>
  <si>
    <t>DODGE</t>
  </si>
  <si>
    <t>DC</t>
  </si>
  <si>
    <t>DACIA</t>
  </si>
  <si>
    <t>DS</t>
  </si>
  <si>
    <t>DS Automobiles</t>
  </si>
  <si>
    <t>FE</t>
  </si>
  <si>
    <t>FERRARI</t>
  </si>
  <si>
    <t>FI</t>
  </si>
  <si>
    <t>FIAT</t>
  </si>
  <si>
    <t>FIS</t>
  </si>
  <si>
    <t>FISKER</t>
  </si>
  <si>
    <t>FO</t>
  </si>
  <si>
    <t>FORD</t>
  </si>
  <si>
    <t>FU</t>
  </si>
  <si>
    <t>FUSO</t>
  </si>
  <si>
    <t>HO</t>
  </si>
  <si>
    <t>HONDA</t>
  </si>
  <si>
    <t>HY</t>
  </si>
  <si>
    <t>HYUNDAI</t>
  </si>
  <si>
    <t>IN</t>
  </si>
  <si>
    <t>INFINITI</t>
  </si>
  <si>
    <t>IS</t>
  </si>
  <si>
    <t>ISUZU</t>
  </si>
  <si>
    <t>JA</t>
  </si>
  <si>
    <t>JAGUAR</t>
  </si>
  <si>
    <t>KI</t>
  </si>
  <si>
    <t>KIA</t>
  </si>
  <si>
    <t>LA</t>
  </si>
  <si>
    <t>LANCIA</t>
  </si>
  <si>
    <t>LM</t>
  </si>
  <si>
    <t>LAMBORGHINI</t>
  </si>
  <si>
    <t>LO</t>
  </si>
  <si>
    <t>LOTUS</t>
  </si>
  <si>
    <t>LR</t>
  </si>
  <si>
    <t>LAND ROVER</t>
  </si>
  <si>
    <t>LX</t>
  </si>
  <si>
    <t>LEXUS</t>
  </si>
  <si>
    <t>MA</t>
  </si>
  <si>
    <t>MASERATI</t>
  </si>
  <si>
    <t>MB</t>
  </si>
  <si>
    <t>MERCEDES BENZ</t>
  </si>
  <si>
    <t>MC</t>
  </si>
  <si>
    <t>MCLAREN</t>
  </si>
  <si>
    <t>MG</t>
  </si>
  <si>
    <t>MI</t>
  </si>
  <si>
    <t>MITSUBISHI</t>
  </si>
  <si>
    <t>MN</t>
  </si>
  <si>
    <t>MINI</t>
  </si>
  <si>
    <t>MZ</t>
  </si>
  <si>
    <t>MAZDA</t>
  </si>
  <si>
    <t>MO</t>
  </si>
  <si>
    <t>MORGAN</t>
  </si>
  <si>
    <t>NISSAN</t>
  </si>
  <si>
    <t>OP</t>
  </si>
  <si>
    <t>OPEL</t>
  </si>
  <si>
    <t>PE</t>
  </si>
  <si>
    <t>PEUGEOT</t>
  </si>
  <si>
    <t>POL</t>
  </si>
  <si>
    <t>POLESTAR</t>
  </si>
  <si>
    <t>PORSCHE</t>
  </si>
  <si>
    <t>QO</t>
  </si>
  <si>
    <t>QUOROS</t>
  </si>
  <si>
    <t>RE</t>
  </si>
  <si>
    <t>RENAULT</t>
  </si>
  <si>
    <t>RR</t>
  </si>
  <si>
    <t>ROLLS ROYCE</t>
  </si>
  <si>
    <t>SE</t>
  </si>
  <si>
    <t>SEAT</t>
  </si>
  <si>
    <t>SK</t>
  </si>
  <si>
    <t>SKODA</t>
  </si>
  <si>
    <t>SM</t>
  </si>
  <si>
    <t>SMART</t>
  </si>
  <si>
    <t>SU</t>
  </si>
  <si>
    <t>SUBARU</t>
  </si>
  <si>
    <t>SZ</t>
  </si>
  <si>
    <t>SUZUKI</t>
  </si>
  <si>
    <t>TA</t>
  </si>
  <si>
    <t>TATA</t>
  </si>
  <si>
    <t>TO</t>
  </si>
  <si>
    <t>TOYOTA</t>
  </si>
  <si>
    <t>VO</t>
  </si>
  <si>
    <t>VOLVO</t>
  </si>
  <si>
    <t>VW</t>
  </si>
  <si>
    <t>VOLKSWAGEN</t>
  </si>
  <si>
    <t>ICDP</t>
  </si>
  <si>
    <t>NOTE: 13 Nissan sites sale completed 31/10/2022</t>
  </si>
  <si>
    <t>Employees: 3826</t>
  </si>
  <si>
    <t xml:space="preserve"> - Volkswagen Group Retail Espana</t>
  </si>
  <si>
    <t>AU, CUP, LM, PO, SE SK, VW, VW COMM</t>
  </si>
  <si>
    <t>Porsche Holding Salzburg website PR release, website</t>
  </si>
  <si>
    <t>Outlets are 2022</t>
  </si>
  <si>
    <t>Cosmobilis/BymyCar</t>
  </si>
  <si>
    <t>Journal de l'Automobile + Cosmobilis/bymycar websites + desk research</t>
  </si>
  <si>
    <t>Alphartis (AHG-Gruppe, BHG-Gruppe, Martin GmbH)</t>
  </si>
  <si>
    <t>Latvia (Domenikss) included - part of the Group since 1.12.2021</t>
  </si>
  <si>
    <t>JCT600, accounts</t>
  </si>
  <si>
    <t>Grupo Salvador Caetano</t>
  </si>
  <si>
    <t>Mercedes Benz Retail UK - no longer in operation</t>
  </si>
  <si>
    <t>MB Retail has now disposed of its retail operations in UK</t>
  </si>
  <si>
    <t>2021-2022 Variance</t>
  </si>
  <si>
    <t>2013-2022 Variance</t>
  </si>
  <si>
    <t>AU, BE, BU, CUPRA, LM, MAN, PO, Rimac, SE, SK, VW, VW COMM</t>
  </si>
  <si>
    <t>ALP, AU, BM, CI, DC, DS, KI, LX, MN, NI, PE, RE, TO, VW</t>
  </si>
  <si>
    <t>MB, SM, MB LCV, MB HCV, FUSO</t>
  </si>
  <si>
    <t>Annuaire des Groupes Autoactu 2024</t>
  </si>
  <si>
    <t>Employees: 507</t>
  </si>
  <si>
    <t>Stellantis &amp; You is present in 12 markets (Europe and Maghreb). New cars in total 289,000 (-6% vs. 2021) and 126,000 used cars (-21% vs. 2021).
Overall turnover: €9,6bn
Employees: 11,696
250 outlets
35 parts platforms</t>
  </si>
  <si>
    <t xml:space="preserve">Outlets sold in 2022: Angers to groupe Rouyer in July ; Rouen and Le Havre sold to groupe Mary in October ; Tours, Loches, Chinon and Le Mans to groupe Gémy in December
In 2023, the dealerships in Caen and Brest have been sold to groupe Bodemer
RRG now focuses on Paris, Lyon, Bordeaux, Marseille and Cannes metro areas. </t>
  </si>
  <si>
    <t>Volkswagen Group Retail France</t>
  </si>
  <si>
    <t>Avemo</t>
  </si>
  <si>
    <t>Accounts 2022</t>
  </si>
  <si>
    <t>BPM</t>
  </si>
  <si>
    <r>
      <rPr>
        <sz val="11"/>
        <color rgb="FFFF0000"/>
        <rFont val="Calibri"/>
        <family val="2"/>
        <scheme val="minor"/>
      </rPr>
      <t>Volumes ICDP estimates</t>
    </r>
    <r>
      <rPr>
        <sz val="11"/>
        <rFont val="Calibri"/>
        <family val="2"/>
        <scheme val="minor"/>
      </rPr>
      <t>, Outlets, brands from websites</t>
    </r>
  </si>
  <si>
    <t>Employees: 216</t>
  </si>
  <si>
    <t>No longer in operation, sold to LS Groupe in June 2023</t>
  </si>
  <si>
    <t xml:space="preserve">Stellantis &amp; You </t>
  </si>
  <si>
    <t>Europe</t>
  </si>
  <si>
    <t>Website</t>
  </si>
  <si>
    <t>AU, BE, BU, CU, LM, PO, RI, SE, SK, VW, VW COMM</t>
  </si>
  <si>
    <t>AB, AR, BM, FI, FI PRO, HY, CJ, KI, LX, MN, MI, SZ, TO</t>
  </si>
  <si>
    <t>OM</t>
  </si>
  <si>
    <t>OMODA</t>
  </si>
  <si>
    <t>AI</t>
  </si>
  <si>
    <t>AIWAYS</t>
  </si>
  <si>
    <t>OR</t>
  </si>
  <si>
    <t>ORA</t>
  </si>
  <si>
    <t>HQ</t>
  </si>
  <si>
    <t>HONGQI</t>
  </si>
  <si>
    <t>LYNK</t>
  </si>
  <si>
    <t>LY</t>
  </si>
  <si>
    <t>NIO</t>
  </si>
  <si>
    <t>VOY</t>
  </si>
  <si>
    <t>VOYAH</t>
  </si>
  <si>
    <t>GWM</t>
  </si>
  <si>
    <t>GREAT WALL</t>
  </si>
  <si>
    <t>WEY</t>
  </si>
  <si>
    <t>XP</t>
  </si>
  <si>
    <t>XPENG</t>
  </si>
  <si>
    <t>ZE</t>
  </si>
  <si>
    <t>ZEEKR</t>
  </si>
  <si>
    <t>HI</t>
  </si>
  <si>
    <t>HIPHI</t>
  </si>
  <si>
    <t>SER</t>
  </si>
  <si>
    <t>SERES</t>
  </si>
  <si>
    <t>LE</t>
  </si>
  <si>
    <t>LEAPMOTOR</t>
  </si>
  <si>
    <t>MAX</t>
  </si>
  <si>
    <t>MAXUS</t>
  </si>
  <si>
    <t>FA</t>
  </si>
  <si>
    <t>FARIZON</t>
  </si>
  <si>
    <t>BA</t>
  </si>
  <si>
    <t>BAIC/ARCFOX</t>
  </si>
  <si>
    <t>Merbag Holding</t>
  </si>
  <si>
    <t>AVAG SE Holding</t>
  </si>
  <si>
    <t>Employees: 508</t>
  </si>
  <si>
    <t>Journal de l'Automobile, Website</t>
  </si>
  <si>
    <t>Chopard</t>
  </si>
  <si>
    <t>Salvador Caetano (European operations)</t>
  </si>
  <si>
    <t>AU, CU, SE, SK, VW, VW COMM</t>
  </si>
  <si>
    <t>FE, MB, MB COMM, MB TRUCK, SM, VO, FUSO, INEOS</t>
  </si>
  <si>
    <r>
      <t>BM, MN, CJ, FI, FI PROF, JA, LR, DAF, MA, MB, MB LCV,</t>
    </r>
    <r>
      <rPr>
        <sz val="12"/>
        <rFont val="Calibri"/>
        <family val="2"/>
        <scheme val="minor"/>
      </rPr>
      <t xml:space="preserve"> MB HCV, KI, AR,</t>
    </r>
    <r>
      <rPr>
        <sz val="11"/>
        <rFont val="Calibri"/>
        <family val="2"/>
        <scheme val="minor"/>
      </rPr>
      <t xml:space="preserve"> SM, FUSO</t>
    </r>
  </si>
  <si>
    <t>Gueudet 1880</t>
  </si>
  <si>
    <t>AM, AU, BE, CU, FE, KI, LO, LR, MA, MZ, MB, PO, RR, SE, SM, VW, VW COMM</t>
  </si>
  <si>
    <t>Mercedes Benz Roma - since Jan 2024 no longer in operation (acuired by Autotorino)</t>
  </si>
  <si>
    <t>Accounts 2023</t>
  </si>
  <si>
    <t>Employees: 375</t>
  </si>
  <si>
    <t>RoS 1.23%</t>
  </si>
  <si>
    <t>Stellantis &amp; You Italia (Fiat center &amp; PSA Retail) - only one company since 2023</t>
  </si>
  <si>
    <t xml:space="preserve"> - Renault Retail Italy no longer in operation</t>
  </si>
  <si>
    <t>Employees: 1,920</t>
  </si>
  <si>
    <t>Ros ebit: 2.39%</t>
  </si>
  <si>
    <t>Porsche Retail Italia (new company)</t>
  </si>
  <si>
    <t>2023 Accounts</t>
  </si>
  <si>
    <t>£1:€1.149</t>
  </si>
  <si>
    <t>2022-2023 Variance</t>
  </si>
  <si>
    <t>2023-2024</t>
  </si>
  <si>
    <t>MB, MB COMM, SM, MB HCV, FUSO, SETRA</t>
  </si>
  <si>
    <t>2013-2023 Variance</t>
  </si>
  <si>
    <t>Employees: 209</t>
  </si>
  <si>
    <t>Includes 509 Motorcycle units</t>
  </si>
  <si>
    <t>Employees: 242</t>
  </si>
  <si>
    <t>Aprite (Westway) - wholly owned by Nissan Motor Co (no longer in operation)</t>
  </si>
  <si>
    <t>*2023 Revenue for UK-based groups reflects average exchange rate 2020 €1.149:£1 unless stated differently</t>
  </si>
  <si>
    <t>AU, BE, CU, PO, SE, SK, VW, VW COMM</t>
  </si>
  <si>
    <t>Employees: 10000</t>
  </si>
  <si>
    <t>Employees: 2400</t>
  </si>
  <si>
    <t>Austria, Italy, Poland, Czech, Croatia, Hungary, Slovakia, Slovenia, Romania</t>
  </si>
  <si>
    <t xml:space="preserve">AU, BE, LM, PO, SE, SK, VW, VW COMM </t>
  </si>
  <si>
    <t>12 months FY ended March 31 2024</t>
  </si>
  <si>
    <t>Note: New and sub brands account for significant proportion of increase in franchise sales points in Top 10</t>
  </si>
  <si>
    <t>International operations in Europe/ National only</t>
  </si>
  <si>
    <t>Nissan</t>
  </si>
  <si>
    <t>Renault</t>
  </si>
  <si>
    <t>Non-movers</t>
  </si>
  <si>
    <t>More than +5</t>
  </si>
  <si>
    <t>More than -5</t>
  </si>
  <si>
    <t>Denmark</t>
  </si>
  <si>
    <t>Finland</t>
  </si>
  <si>
    <t>HQ Location</t>
  </si>
  <si>
    <t>Canada</t>
  </si>
  <si>
    <t>Change 2023 vs 2022</t>
  </si>
  <si>
    <t>Annuaire des Groupes Autoactu 2025</t>
  </si>
  <si>
    <t>Employees: 3142</t>
  </si>
  <si>
    <t>Key European Operating Markets other than home location</t>
  </si>
  <si>
    <t>Switzerland, Italy, Spain, Belgium</t>
  </si>
  <si>
    <t>Baltics</t>
  </si>
  <si>
    <t>Belgium, Luxembourg, Norway</t>
  </si>
  <si>
    <t>Sweden, Baltics</t>
  </si>
  <si>
    <t xml:space="preserve"> Czech Rep, Sweden</t>
  </si>
  <si>
    <t>Austria, Croatia, Hungary, Slovenia</t>
  </si>
  <si>
    <t>Belgium, Spain</t>
  </si>
  <si>
    <t>Belgium, Czech Rep, Switzerland, UK</t>
  </si>
  <si>
    <t>Austria, Germany, Italy, Luxembourg</t>
  </si>
  <si>
    <t>Switzerland, Monaco</t>
  </si>
  <si>
    <t>Hungary, Bulgaria, Switzerland</t>
  </si>
  <si>
    <t>Employees: 1375</t>
  </si>
  <si>
    <t>ICDP - Top 50 European Dealer Groups - 2024</t>
  </si>
  <si>
    <t>2023 Rank</t>
  </si>
  <si>
    <t>2024 European ranking #</t>
  </si>
  <si>
    <t>Euro:GBP exchange rate where applicable €1.181:£1.00 unless stated otherwise</t>
  </si>
  <si>
    <t>AB, AM, CI, CJ, CU, DC, FI, F1 PROF, FO, FO LCV, HO, HY, IS, KGM, KI, LX, MAXUS, MG, MZ, NI, PE, RE, SE, SZ, TO, VA,VO</t>
  </si>
  <si>
    <t>AU, BM, CI, CU, FO, FO LCV, JA, KI, LR, LX, MB, MN, PO, SE, SK, SM, TO, VW, VW COMM</t>
  </si>
  <si>
    <t>2024 Annual Report</t>
  </si>
  <si>
    <t>AU, BM, CU, JA, LR, LX, MB, MB COMM, MB HCV, MN, NI, PO, POLESTAR, SE, SK, SM, TO, VO, VW, VW COMM, XPENG</t>
  </si>
  <si>
    <t>AB, AM, AU, BM, BYD, CI, CJ, DC, DS, FE, FI, FO, GEN, HY, JA, KI, LEAP, LO, LR, MA, MB, MG, MN, NI, PE, PIN, RE,VA, PO, SM</t>
  </si>
  <si>
    <t>Accounts/Annual Report/ Company presentation, subsidiary websites</t>
  </si>
  <si>
    <t>AM, AU, BE, BM, BU, FE, JA, LM, LR, LX, MA, MB, MN, PAGANI, PO, RR, SE, SK, SM, VO, VW, VW COMM</t>
  </si>
  <si>
    <r>
      <t>Annual Report, presentation, website,</t>
    </r>
    <r>
      <rPr>
        <sz val="11"/>
        <color rgb="FFFF0000"/>
        <rFont val="Calibri"/>
        <family val="2"/>
        <scheme val="minor"/>
      </rPr>
      <t xml:space="preserve"> new wholesale vehicles are gross</t>
    </r>
  </si>
  <si>
    <t>Belgium, Czechia, Finland, Germany, Hungary, Luxembourg, Netherlands, Norway, Slovakia, Switzerland, UK</t>
  </si>
  <si>
    <t>PHS end year PR results Statement; https://www.porsche-holding.com/en/news/the-2024-automotive-year-porsche-holding-salzburg-stays-firmly-on-track-in-a-volatile-and-highly-competitive-market-environment</t>
  </si>
  <si>
    <t>Employees 800</t>
  </si>
  <si>
    <t>Employees: 294</t>
  </si>
  <si>
    <t>UK Subsidiary</t>
  </si>
  <si>
    <t xml:space="preserve"> Exchange rate 2024 1SEK: €0.087402; gross wholesale volume 44980.  New retail volumes include new &amp; used HCVs (946) and motorcycles (813)</t>
  </si>
  <si>
    <t>AB, AR, ALP, BM, BYD, CI, CJ, CA, CO, DC, DO, DS, FI, FI PROF, FO, F 150, FUSO, HO, HONGQI, HY, IS, INEOS, IVECO, JA, KI, LEVC, LO, LR, LX, MAXUS, MB, MB LCV, MB HCV, MG, MI, MN, MZ, NI, OP, PE, PO, RE, RAM, SK, SM, SU, TO, VO, XPENG</t>
  </si>
  <si>
    <t>New vehicles delivered 119832</t>
  </si>
  <si>
    <t>FY end February 2025</t>
  </si>
  <si>
    <t>Exchange Rate - €1.181:£1 ; Volumes include 11921 Agency sales, 19693 Motability</t>
  </si>
  <si>
    <t>AU, BM, BYD, CI, CU, DC, DS, FE, FO, HO, HY, JA, KI, LEVC, LR, MB, MBLCV, MG, MI, MN, MZ, NI, PE, RE, SE, SK, SM, TO, VA, VO, VW, VW COMM</t>
  </si>
  <si>
    <t>AU, BM, CU, HY, KI, LR, MG, MN, PE, SE, SK, VW, VW COMM</t>
  </si>
  <si>
    <t>AM, AU, BE, CU, LM, MCL, PO, SE, SK, VW, VW COMM</t>
  </si>
  <si>
    <t>Have AM, BE, LM in Sweden; PO and SK in Baltic; Volumes provided by Semler; Exchange Rate 1DKK:€0.1342</t>
  </si>
  <si>
    <t>Exchange Rate - 1CHF:€1.049782: Turnover 2024 4.9bn SFR; franchise point data sourced from website (which states gross new vehicle sales 82355  units in 2024)</t>
  </si>
  <si>
    <t>Exchange rate, £1:€1.180928</t>
  </si>
  <si>
    <t>Greenhous Group (volumes), 2024 Accounts</t>
  </si>
  <si>
    <t>CI, NI, PE, VA,VW COMM, DAF, OMODA-JAECOO, LEAPMOTOR</t>
  </si>
  <si>
    <t>Pappas Profile/ input, websites</t>
  </si>
  <si>
    <t>AB, AL, AR, BM, BYD, CJ, CI, CU, DC, DS, FI, GEN, HO, HY, KI, LEAP, MB, MG, MZ, MN, OMODA-JAECOO, ORA, PE, RE, SE, SK, SM, VA, VO, VW</t>
  </si>
  <si>
    <t>Exchange Rate £1:€1.181</t>
  </si>
  <si>
    <t>Belgium, Denmark, Luxembourg, Germany, France, UK</t>
  </si>
  <si>
    <t>AB, ALP, AR, AM, AU, BE, BM, CADILLAC, CHEVROLET, CI, CJ, CORVETTE, CUP, DC, DS, FI, FI PROF, FO, FUSO, HY, IS, IVECO, JA, KI, LEAPMOTOR, LR, LX, MAXUS, MB, MB COMM, MB TRUCK, MG, MIN, NI, OP, PE, PO, RE, SE, SK, SM, SSY, SZ, TO, VW, VW COMM, VO</t>
  </si>
  <si>
    <t>*UK Operation is in Channel Islands and Isle of Man, also holds BM Motorrad, HO Bikes, Hymer</t>
  </si>
  <si>
    <t>Weller Holding SE</t>
  </si>
  <si>
    <t>All sales and revenue data from IFA, brands /outlets website</t>
  </si>
  <si>
    <t>AU, CU, INEOS, PO, SE, SK, VW, VW COMM</t>
  </si>
  <si>
    <t>BM, MN, TO, LX, SE, CU, HY, MICROLINO, HONQI</t>
  </si>
  <si>
    <t>AU, BE, CU, DC, GEN, HY, JA, KI, LM, LR, MCL, MG, SE, SK, VW, VW COMM</t>
  </si>
  <si>
    <t>AU, BE, BU, CU, HY, PO, RIMAC, SE, SK, VW, VW COMM</t>
  </si>
  <si>
    <t>AU, BYD, CU, DAF, FUSO, MAXUS, MG, MB, MB LCV, MB HCV, PO, SE, SK, SM, VW, VW COMM</t>
  </si>
  <si>
    <t>Auto retail also in USA, Vietnam</t>
  </si>
  <si>
    <t>UK, Denmark, Sweden, Canada, USA</t>
  </si>
  <si>
    <t>BYD, FUSO, HY, KI, LM, LX, MA, MB, MB COMM, MCL, MO, MZ, OP, PE, SM, SZ, TO, TVR, De Tomaso, Pininfarina, Microlino, Daihatsu</t>
  </si>
  <si>
    <t>Louwman Group</t>
  </si>
  <si>
    <t>Also have service operations for BE, LM</t>
  </si>
  <si>
    <t>Volumes exclude 72 HCVs, 2262 motor cycles</t>
  </si>
  <si>
    <t>AIXAM, BYD, DC, FO, HO, HY, JA, KI, IS, IVECO, LR, LX, MAXUS, MB, MB COMM, MZ, NI, RE, SM, KGM, SU, SZ, TO, VO</t>
  </si>
  <si>
    <t>The turnover of the group relates to all its activities (i.e. PCs, LCVs and Trucks)</t>
  </si>
  <si>
    <t>AB, ALP, CI, DC, DS, FI, FI PRO, MB, MB COMM, MB HCV, MG, NI, PE, RE, SM, RVI, LEAPMOTOR</t>
  </si>
  <si>
    <t>ALP, BM, CU, DC, KI, LX, MG, MN, NI, OP, PE, RE, SE, SZ, TO, LEAPMOTOR</t>
  </si>
  <si>
    <t>AB, AR, AM, BYD, CI, CJ, DS, FI, KI, LO, MA, MB, OP, PE, SM, SZ, TO</t>
  </si>
  <si>
    <t>Also has bikes with Indian, Honda, Kawasaki, Piaggio, Yamaha, Polaris</t>
  </si>
  <si>
    <t>AB, AR, AM, BE, BYD, CJ, DODGE, FE, FI, FI PROF, FO, HY, JA, INEOS, IVECO,  LA, LR, MA, MCL, MB, MB COMM, MB HCV, FUSO, MZ, SM, SZ, VO, RR, CATERHAM, PININFARINA</t>
  </si>
  <si>
    <t>Car Lovers</t>
  </si>
  <si>
    <t>Journal de l'Automobile;  website</t>
  </si>
  <si>
    <t>ALP, AU, BU, BYD, CU, DC, KI, LM, MA, MCL, NI, PO, RE, SE, SK, SZ, TO, VW, VW COMM, VO</t>
  </si>
  <si>
    <t>AB,AM, AMG, AR, AU, BE, BYD, CI, CJ, DS, FE, FI, FI PROF, FU, HO, HY, INEOS, JA, KI, LM, LR, MA, MAXUS, MB, MB LCV, MG, MI, NI, OP, PE, SK, SM, VW, VW COMM, CHERY/ EBRO</t>
  </si>
  <si>
    <t>AM, AU, BE, BYD, BM, CJ, CI, CU, DC, DS, FE, FO, GWM/ORA, HY, JA, KI, LO, LR, LX, MA, MB, MG, MI, MN, NI, PE, POLESTAR, RE, SE, SK, SM, TO,VO, VA, VW, VW COMM, VO</t>
  </si>
  <si>
    <t>AM, AU, BM, BYD, CU, FO, FO LCV, HO, JAECOO, OMODA, HY, JA, LR, MB, MB COMM, MB HCV, MN, NI, SE, SK, SM,VA,VA LCV, VO, VW, VW COMM</t>
  </si>
  <si>
    <t>FY end August 2024</t>
  </si>
  <si>
    <t>AB, AR, CA, CH, CI, CJ, CO,CU, DS, FI, FO, HO, HY, IS, KGM, KI, LEAPMOTOR, LX, MAXUS, MB, MB COMM, MB HCV, MG, MZ, NI, OP, PE, SE,SU, SZ, TO, VO</t>
  </si>
  <si>
    <t>2023-2024 Annual report, branch websites</t>
  </si>
  <si>
    <t>South Africa</t>
  </si>
  <si>
    <t>Accounts, websites</t>
  </si>
  <si>
    <t>Motus Group UK/Pentagon</t>
  </si>
  <si>
    <t>FY ends 30 April; £1:€1.167</t>
  </si>
  <si>
    <t>CI, CU, DAF, DC, FI, FI PROF, FO, FO LCV, IS, KI, MAXUS, MB COMM, MB HCV, MZ, NI, PE, RE, SE, VA, VW, VW COMM</t>
  </si>
  <si>
    <t>Denmark, Spain, Sweden, Hungary</t>
  </si>
  <si>
    <t>AU, AB, AR, BM, BY, DC, DF, KI, HO, HY, JE, LM, LX, MB, MN, NI, OP, PE, RE, SK, SM, TO, VW, XP</t>
  </si>
  <si>
    <t>AB, AM, ALP, AR, AU, BE, BM, CA, CH, CHRY, CO, CI, CJ, DC, DS, FE, FI, FI PRO, GWM/ORA/WEY, FO, HO, HY, IS, JA, KI, LA, LR, LX, MA, MB, MB COMM, MG, MN, MI, MZ, NI, OP, PE, PIAGGIO, PO, POL, RE, SE, SK, SM, SSY, SU, SZ, TO, VO, VW, VW COMM, XPENG</t>
  </si>
  <si>
    <t>France, Germany, Netherlands, Belgium, CEE</t>
  </si>
  <si>
    <t>AR, CI, CJ, DS, FI, FI PROF, KI, MB, MB COMM, MB HCV, OP, PE, SM, FUSO, SETRA</t>
  </si>
  <si>
    <t>Employees: 2818</t>
  </si>
  <si>
    <t>£1:€1.181</t>
  </si>
  <si>
    <t>Penske 2024 10-K, IFA, ICDP Italy, websites</t>
  </si>
  <si>
    <t>Turnover 2024; https://de.wikipedia.org/wiki/Merbag_Holding</t>
  </si>
  <si>
    <t>2023-2024 Variance</t>
  </si>
  <si>
    <t>2013-2024 Variance</t>
  </si>
  <si>
    <t>ICDP - November 2025</t>
  </si>
  <si>
    <t>Total New Vehicle Sales Top 50</t>
  </si>
  <si>
    <t>Total New Vehicle Sales Top 25</t>
  </si>
  <si>
    <t>Total New Vehicle Sales Top 10</t>
  </si>
  <si>
    <t>Total New Vehicle Sales 26-50</t>
  </si>
  <si>
    <t>Annual report 2024/ D'Ieteren</t>
  </si>
  <si>
    <t>AB, AR, BM, BYD, CJ, FI, FI PROF, INEOS, KI, KGM, HY, LX, MB, MB COMM, MN, SM, SU, TO, TO PROF</t>
  </si>
  <si>
    <t>Intergea</t>
  </si>
  <si>
    <t>Veho Oy Ab accounts, company profile, Veho</t>
  </si>
  <si>
    <t>AB, AR, AU, BYD, CI, DR, DS, EMC, FI, FI PROF, FOTON, HY, OMODA-JAECOO, CJ, KI, LA, LEAPMOTOR, MA, MZ, MG, NI, OP, PE, SK, SZ, VO, VW, VWCOMM</t>
  </si>
  <si>
    <t>ICDP italy, website</t>
  </si>
  <si>
    <t>All sales and revenue data from IFA, brands /outlets websites</t>
  </si>
  <si>
    <t>Lithia Driveway (replaces Pendragon &amp; Jardine Motors UK on acquisition)</t>
  </si>
  <si>
    <t>Pon Automotive (European Automotive operations)</t>
  </si>
  <si>
    <t>Global Auto Holdings (European Operations - Lookers in UK, K W Brunn in Denmark/Sweden)</t>
  </si>
  <si>
    <t>OEM Dealer Groups - 2024 Update</t>
  </si>
  <si>
    <t>AU, BM, CU, HO, LR, LX, MB, MB COMM, MG, MN, OMODA-JAECOO, PO, SE, SK, SM, TO, VW, VW COMM, VO</t>
  </si>
  <si>
    <t>2024-2025</t>
  </si>
  <si>
    <r>
      <t>2024-2025 Accounts/</t>
    </r>
    <r>
      <rPr>
        <sz val="11"/>
        <color rgb="FFFF0000"/>
        <rFont val="Calibri"/>
        <family val="2"/>
        <scheme val="minor"/>
      </rPr>
      <t>volumes ICDP estimates</t>
    </r>
  </si>
  <si>
    <t>FY ends 31st March, £1:€1.181</t>
  </si>
  <si>
    <t>2024 Accounts;  Lookers Accounts for volumes</t>
  </si>
  <si>
    <t>Exchange Rate - USD$1:€0.924286; note Nordics only contributed 1% of turnover in 2024; Lookers turnover €5.07bn</t>
  </si>
  <si>
    <t>New</t>
  </si>
  <si>
    <t>Human Resources - Jobs Retail Renault Group</t>
  </si>
  <si>
    <t>Employees: 5400</t>
  </si>
  <si>
    <t>Employees: 11400</t>
  </si>
  <si>
    <t>https://www.media.stellantis.com/uploads/em/news/231213_pr2yearssy_en-6579cfcbee270.pdf</t>
  </si>
  <si>
    <t>AB, ALP, AR, AU, BM, BYD, CI, CU, DC, DS, FI, FO, INEOS, MB, MB COMM, MB HCV, MN, NI, OP, PE, RE, SE, SK, SM, VW, VW COMM, FUSO</t>
  </si>
  <si>
    <t>Belgium, Luxembourg, Switzerland, Germany (from Feb 2025)</t>
  </si>
  <si>
    <t>AB, ALP, AR, AU, BM, BYD, CI, CJ, CU, DC, DS, FI, INF, KI, LA, LEAPMOTOR, LX, MA, MAXUS, MB, MB COMM, MB HCV, MG, MN, NI, OP, PE, PO, RE, SCANIA, SE, SK, SM, TO, VW</t>
  </si>
  <si>
    <t>Journal de l'Automobile, Website (sales inc, Belgium)</t>
  </si>
  <si>
    <t>ICDP Italia</t>
  </si>
  <si>
    <t>Employees: 239</t>
  </si>
  <si>
    <t>Excludes 1902 new, 1299 used motorcyles</t>
  </si>
  <si>
    <t>ICDP Italis</t>
  </si>
  <si>
    <t>Employees: 845</t>
  </si>
  <si>
    <t>Employees: 75</t>
  </si>
  <si>
    <t>ICDP - volume &amp; turnover estimates; Outlets &amp; Brands, Frey websites, plus other national sources</t>
  </si>
  <si>
    <t>Estimates cover Automotive import and retail only inc LCV franchises</t>
  </si>
  <si>
    <t>Penske Group UK T/O €8.616bn, new sales 85042 , used 118895 ; Germany €0.752bn, new sales 11860, used sales 10263/Italy €0.857bn, new sales 9219, used sales 10149</t>
  </si>
  <si>
    <t>Germany, Italy, UK</t>
  </si>
  <si>
    <t>Group1 UK Accounts; website</t>
  </si>
  <si>
    <t>Sites franchise sales points exc service only and used car stand alone sites, exchange rate £1:€1.181</t>
  </si>
  <si>
    <t>AU, SE, CU,PO,  SK, VW, VW COMM</t>
  </si>
  <si>
    <t>Lithia Driveway 2024 10k, UK Websites</t>
  </si>
  <si>
    <t>Annuaire des Groupes Autoactu 2026</t>
  </si>
  <si>
    <t>Employees: 136</t>
  </si>
  <si>
    <t>2019: Motorcycles distribution sold to the Horizon group</t>
  </si>
  <si>
    <t xml:space="preserve"> In 2024, the 'Bordeaux' sites have be acquired by the BPM group and the Parisian ones by the COMO group</t>
  </si>
  <si>
    <t>Mercedes-Benz Retail France no longer in operation</t>
  </si>
  <si>
    <r>
      <t xml:space="preserve">Stellantis &amp; You inc FCA Motor Village
</t>
    </r>
    <r>
      <rPr>
        <b/>
        <sz val="11"/>
        <rFont val="Calibri"/>
        <family val="2"/>
        <scheme val="minor"/>
      </rPr>
      <t>No sales/ revenue figures for 2024</t>
    </r>
  </si>
  <si>
    <t>Annuaire des Groupes 2026 Autoactu; website</t>
  </si>
  <si>
    <r>
      <t xml:space="preserve">Total Wholesales 2024 46491, net wholesales assumed by deduction Note Porsche retail only, </t>
    </r>
    <r>
      <rPr>
        <sz val="11"/>
        <color rgb="FFFF0000"/>
        <rFont val="Calibri"/>
        <family val="2"/>
        <scheme val="minor"/>
      </rPr>
      <t>net wholesales reduced by est 250 Porsche units in HY2</t>
    </r>
    <r>
      <rPr>
        <sz val="11"/>
        <rFont val="Calibri"/>
        <family val="2"/>
        <scheme val="minor"/>
      </rPr>
      <t>; Exchange rate; 1NOK:€0.085955</t>
    </r>
  </si>
  <si>
    <r>
      <t xml:space="preserve">Exchange Rate - $1:€0.924286 (Note: turnover &amp; volumes cover only 11 months of Pendragon ownership in 2024, </t>
    </r>
    <r>
      <rPr>
        <sz val="11"/>
        <color rgb="FFFF0000"/>
        <rFont val="Calibri"/>
        <family val="2"/>
        <scheme val="minor"/>
      </rPr>
      <t>volumes are ICDP estimates</t>
    </r>
  </si>
  <si>
    <t>2023-24</t>
  </si>
  <si>
    <t>Exchange Rate - €1.149:£1  Note: sale of 14 Toyota &amp; 6 Lexus points to Steven Eagell 5th April 2023; Turnover and volume data taken from Marshall Motor Holdings 2023-2024 Accounts</t>
  </si>
  <si>
    <t>Marshall Motor Holdings (subsidiary of Constellation Automotive Holdings/BCA)</t>
  </si>
  <si>
    <t>Exchange Rate - €1.181:£1: Sales point count excludes a wide range of dedicated specialist sites not directly involved in the sale of franchised new cars</t>
  </si>
  <si>
    <t>Exchange rate 2023 1SEK: €0.087402</t>
  </si>
  <si>
    <t>Includes wholesales for Toyota, Lexus, Hyundai, Honda, Nissan, BYD, Dongfeng and Xpeng import volumes
Also includes vehicles sold from Nordics and Hungary joint ventures</t>
  </si>
  <si>
    <t>Also has Harley Davidson</t>
  </si>
  <si>
    <t>Includes substantial Truck, Agricultural machinery, Construction Equipment and motorcycle operations</t>
  </si>
  <si>
    <t>Also have BMW Motorrad and  Triumph motor cycles</t>
  </si>
  <si>
    <t>Exchange Rate - 1NOK:€0.085955: As of 2023, Bertel O. Steen owns 40 multi-brand sales points</t>
  </si>
  <si>
    <t>New entrants</t>
  </si>
  <si>
    <t>ECDH</t>
  </si>
  <si>
    <t>Outlet data only</t>
  </si>
  <si>
    <t>MB, SM</t>
  </si>
  <si>
    <t>ECDH 2024, MB/SM only</t>
  </si>
  <si>
    <t>8 mrkets</t>
  </si>
  <si>
    <t>AB, AR, CI, CJ, DS, FI, FI PRO, LEAP, OP, PE</t>
  </si>
  <si>
    <t>AB, AR, CI, CJ, DS, FI, FI PRO, LA, LEAP, OP, PE</t>
  </si>
  <si>
    <t>CI, DS, OP, PE, LEAP</t>
  </si>
  <si>
    <t>AB, AR, CI, CJ, DS, FI, FI PRO, PE, VA, LEAP</t>
  </si>
  <si>
    <t>France, Germany, Spain, UK</t>
  </si>
  <si>
    <t>ECDH 2024</t>
  </si>
  <si>
    <t>Renault Retail UK - now Subsidiary of Renault UK, no accounts since 2023FY)</t>
  </si>
  <si>
    <t>RE, DC, ALP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</si>
</sst>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
    <numFmt numFmtId="165" formatCode="0.0%;[Red]\-0.0%"/>
    <numFmt numFmtId="166" formatCode="0.0%"/>
    <numFmt numFmtId="167" formatCode="[$€-2]\ #,##0.000"/>
    <numFmt numFmtId="168" formatCode="#,###,##0"/>
    <numFmt numFmtId="169" formatCode="#,##0_ ;[Red]\-#,##0\ "/>
    <numFmt numFmtId="170" formatCode="[$€-2]\ #,##0.00"/>
    <numFmt numFmtId="171" formatCode="0;[Red]0"/>
    <numFmt numFmtId="172" formatCode="[$€-413]\ #,##0.000"/>
  </numFmts>
  <fonts count="3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sz val="11"/>
      <name val="Calibri"/>
      <family val="2"/>
    </font>
    <font>
      <u/>
      <sz val="11"/>
      <color theme="10"/>
      <name val="Calibri"/>
      <family val="2"/>
    </font>
    <font>
      <b/>
      <sz val="9"/>
      <color indexed="81"/>
      <name val="Tahoma"/>
      <family val="2"/>
    </font>
    <font>
      <sz val="9"/>
      <color indexed="81"/>
      <name val="Tahoma"/>
      <family val="2"/>
    </font>
    <font>
      <sz val="8"/>
      <color rgb="FFFF0000"/>
      <name val="Calibri"/>
      <family val="2"/>
      <scheme val="minor"/>
    </font>
    <font>
      <b/>
      <sz val="10"/>
      <color indexed="8"/>
      <name val="Arial"/>
      <family val="2"/>
    </font>
    <font>
      <sz val="11"/>
      <color indexed="8"/>
      <name val="Calibri"/>
      <family val="2"/>
      <scheme val="minor"/>
    </font>
    <font>
      <sz val="11"/>
      <color rgb="FF000000"/>
      <name val="Calibri"/>
      <family val="2"/>
      <scheme val="minor"/>
    </font>
    <font>
      <b/>
      <u/>
      <sz val="11"/>
      <name val="Calibri"/>
      <family val="2"/>
      <scheme val="minor"/>
    </font>
    <font>
      <i/>
      <sz val="11"/>
      <name val="Calibri"/>
      <family val="2"/>
      <scheme val="minor"/>
    </font>
    <font>
      <b/>
      <i/>
      <u/>
      <sz val="11"/>
      <name val="Calibri"/>
      <family val="2"/>
      <scheme val="minor"/>
    </font>
    <font>
      <u/>
      <sz val="11"/>
      <name val="Calibri"/>
      <family val="2"/>
    </font>
    <font>
      <b/>
      <sz val="11"/>
      <name val="Calibri"/>
      <family val="2"/>
    </font>
    <font>
      <i/>
      <sz val="11"/>
      <name val="Calibri"/>
      <family val="2"/>
    </font>
    <font>
      <i/>
      <sz val="11"/>
      <color theme="1"/>
      <name val="Calibri"/>
      <family val="2"/>
      <scheme val="minor"/>
    </font>
    <font>
      <sz val="11"/>
      <color rgb="FFFF0000"/>
      <name val="Calibri"/>
      <family val="2"/>
    </font>
    <font>
      <sz val="12"/>
      <name val="Calibri"/>
      <family val="2"/>
      <scheme val="minor"/>
    </font>
    <font>
      <sz val="11"/>
      <color theme="1"/>
      <name val="Calibri"/>
      <family val="2"/>
    </font>
    <font>
      <u/>
      <sz val="11"/>
      <color theme="1"/>
      <name val="Calibri"/>
      <family val="2"/>
      <scheme val="minor"/>
    </font>
    <font>
      <sz val="11"/>
      <color rgb="FF000000"/>
      <name val="Calibri"/>
      <family val="2"/>
    </font>
    <font>
      <b/>
      <i/>
      <sz val="11"/>
      <color theme="1"/>
      <name val="Calibri"/>
      <family val="2"/>
      <scheme val="minor"/>
    </font>
    <font>
      <u/>
      <sz val="9"/>
      <color indexed="81"/>
      <name val="Tahoma"/>
      <family val="2"/>
    </font>
    <font>
      <i/>
      <sz val="11"/>
      <color rgb="FFFF0000"/>
      <name val="Calibri"/>
      <family val="2"/>
      <scheme val="minor"/>
    </font>
    <font>
      <b/>
      <sz val="11"/>
      <color rgb="FFFF0000"/>
      <name val="Calibri"/>
      <family val="2"/>
      <scheme val="minor"/>
    </font>
    <font>
      <sz val="11"/>
      <color rgb="FF71777D"/>
      <name val="Arial"/>
      <family val="2"/>
    </font>
    <font>
      <u/>
      <sz val="11"/>
      <color rgb="FFFF0000"/>
      <name val="Calibri"/>
      <family val="2"/>
    </font>
    <font>
      <u/>
      <sz val="11"/>
      <name val="Calibri"/>
      <family val="2"/>
      <scheme val="minor"/>
    </font>
    <font>
      <i/>
      <sz val="11"/>
      <color rgb="FFFF0000"/>
      <name val="Calibri"/>
      <family val="2"/>
    </font>
  </fonts>
  <fills count="10">
    <fill>
      <patternFill patternType="none"/>
    </fill>
    <fill>
      <patternFill patternType="gray125"/>
    </fill>
    <fill>
      <patternFill patternType="solid">
        <fgColor theme="0"/>
        <bgColor indexed="64"/>
      </patternFill>
    </fill>
    <fill>
      <patternFill patternType="gray0625">
        <fgColor indexed="9"/>
      </patternFill>
    </fill>
    <fill>
      <patternFill patternType="gray0625">
        <fgColor rgb="FFFFFFFF"/>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FF00"/>
        <bgColor indexed="64"/>
      </patternFill>
    </fill>
  </fills>
  <borders count="66">
    <border>
      <left/>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style="medium">
        <color auto="1"/>
      </left>
      <right/>
      <top/>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bottom/>
      <diagonal/>
    </border>
    <border>
      <left/>
      <right style="medium">
        <color indexed="64"/>
      </right>
      <top style="medium">
        <color indexed="64"/>
      </top>
      <bottom style="thin">
        <color auto="1"/>
      </bottom>
      <diagonal/>
    </border>
    <border>
      <left style="medium">
        <color auto="1"/>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auto="1"/>
      </right>
      <top style="medium">
        <color auto="1"/>
      </top>
      <bottom style="medium">
        <color auto="1"/>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thin">
        <color auto="1"/>
      </right>
      <top/>
      <bottom/>
      <diagonal/>
    </border>
    <border>
      <left/>
      <right style="medium">
        <color auto="1"/>
      </right>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right style="thin">
        <color indexed="64"/>
      </right>
      <top/>
      <bottom style="medium">
        <color indexed="64"/>
      </bottom>
      <diagonal/>
    </border>
    <border>
      <left/>
      <right style="medium">
        <color indexed="64"/>
      </right>
      <top/>
      <bottom/>
      <diagonal/>
    </border>
    <border>
      <left/>
      <right style="medium">
        <color indexed="64"/>
      </right>
      <top style="thin">
        <color auto="1"/>
      </top>
      <bottom/>
      <diagonal/>
    </border>
  </borders>
  <cellStyleXfs count="4">
    <xf numFmtId="0" fontId="0" fillId="0" borderId="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168" fontId="11" fillId="3" borderId="0" applyNumberFormat="0" applyBorder="0">
      <protection locked="0"/>
    </xf>
  </cellStyleXfs>
  <cellXfs count="514">
    <xf numFmtId="0" fontId="0" fillId="0" borderId="0" xfId="0"/>
    <xf numFmtId="0" fontId="0" fillId="0" borderId="0" xfId="0" applyAlignment="1">
      <alignment vertical="top"/>
    </xf>
    <xf numFmtId="0" fontId="0" fillId="0" borderId="12" xfId="0" applyBorder="1" applyAlignment="1">
      <alignment vertical="top"/>
    </xf>
    <xf numFmtId="0" fontId="0" fillId="0" borderId="0" xfId="0" applyAlignment="1">
      <alignment horizontal="left"/>
    </xf>
    <xf numFmtId="0" fontId="3" fillId="0" borderId="0" xfId="0" applyFont="1"/>
    <xf numFmtId="0" fontId="3" fillId="0" borderId="7" xfId="0" applyFont="1" applyBorder="1"/>
    <xf numFmtId="0" fontId="3" fillId="0" borderId="10" xfId="0" applyFont="1" applyBorder="1"/>
    <xf numFmtId="0" fontId="0" fillId="0" borderId="21" xfId="0" applyBorder="1"/>
    <xf numFmtId="0" fontId="0" fillId="0" borderId="22" xfId="0" applyBorder="1"/>
    <xf numFmtId="0" fontId="0" fillId="0" borderId="11" xfId="0" applyBorder="1"/>
    <xf numFmtId="0" fontId="0" fillId="0" borderId="14" xfId="0" applyBorder="1"/>
    <xf numFmtId="0" fontId="0" fillId="0" borderId="24" xfId="0" applyBorder="1" applyAlignment="1">
      <alignment horizontal="left" vertical="top"/>
    </xf>
    <xf numFmtId="0" fontId="2" fillId="0" borderId="23" xfId="0"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vertical="center"/>
    </xf>
    <xf numFmtId="0" fontId="0" fillId="0" borderId="24" xfId="0" applyBorder="1" applyAlignment="1">
      <alignment vertical="top"/>
    </xf>
    <xf numFmtId="0" fontId="0" fillId="0" borderId="26" xfId="0" applyBorder="1" applyAlignment="1">
      <alignment horizontal="left" vertical="top"/>
    </xf>
    <xf numFmtId="1" fontId="0" fillId="0" borderId="11" xfId="0" applyNumberFormat="1" applyBorder="1" applyAlignment="1">
      <alignment vertical="top"/>
    </xf>
    <xf numFmtId="1" fontId="0" fillId="0" borderId="12" xfId="0" applyNumberFormat="1" applyBorder="1" applyAlignment="1">
      <alignment vertical="top"/>
    </xf>
    <xf numFmtId="167" fontId="0" fillId="0" borderId="11" xfId="0" applyNumberFormat="1" applyBorder="1" applyAlignment="1">
      <alignment vertical="top"/>
    </xf>
    <xf numFmtId="167" fontId="0" fillId="0" borderId="12" xfId="0" applyNumberFormat="1" applyBorder="1" applyAlignment="1">
      <alignment vertical="top"/>
    </xf>
    <xf numFmtId="0" fontId="0" fillId="0" borderId="1" xfId="0" applyBorder="1" applyAlignment="1">
      <alignment vertical="top"/>
    </xf>
    <xf numFmtId="0" fontId="0" fillId="0" borderId="5" xfId="0" applyBorder="1" applyAlignment="1">
      <alignment vertical="top"/>
    </xf>
    <xf numFmtId="168" fontId="12" fillId="3" borderId="24" xfId="3" applyFont="1" applyBorder="1" applyAlignment="1">
      <alignment vertical="top"/>
      <protection locked="0"/>
    </xf>
    <xf numFmtId="3" fontId="0" fillId="0" borderId="24" xfId="0" applyNumberFormat="1" applyBorder="1" applyAlignment="1">
      <alignment vertical="top"/>
    </xf>
    <xf numFmtId="166" fontId="0" fillId="0" borderId="24" xfId="0" applyNumberFormat="1" applyBorder="1" applyAlignment="1">
      <alignment vertical="top"/>
    </xf>
    <xf numFmtId="0" fontId="10" fillId="0" borderId="28" xfId="0" applyFont="1" applyBorder="1" applyAlignment="1">
      <alignment horizontal="left" vertical="top"/>
    </xf>
    <xf numFmtId="0" fontId="0" fillId="0" borderId="28" xfId="0" applyBorder="1" applyAlignment="1">
      <alignment vertical="top"/>
    </xf>
    <xf numFmtId="0" fontId="0" fillId="0" borderId="29" xfId="0" applyBorder="1" applyAlignment="1">
      <alignment vertical="top"/>
    </xf>
    <xf numFmtId="0" fontId="3" fillId="0" borderId="24" xfId="0" applyFont="1" applyBorder="1" applyAlignment="1">
      <alignment horizontal="left" vertical="top"/>
    </xf>
    <xf numFmtId="0" fontId="0" fillId="0" borderId="15" xfId="0" applyBorder="1" applyAlignment="1">
      <alignment vertical="top"/>
    </xf>
    <xf numFmtId="0" fontId="0" fillId="0" borderId="9" xfId="0" applyBorder="1" applyAlignment="1">
      <alignment horizontal="center" vertical="center"/>
    </xf>
    <xf numFmtId="1" fontId="0" fillId="0" borderId="13" xfId="0" applyNumberFormat="1" applyBorder="1" applyAlignment="1">
      <alignment vertical="top"/>
    </xf>
    <xf numFmtId="167" fontId="0" fillId="0" borderId="13" xfId="0" applyNumberFormat="1" applyBorder="1" applyAlignment="1">
      <alignment vertical="top"/>
    </xf>
    <xf numFmtId="1" fontId="0" fillId="2" borderId="12" xfId="0" applyNumberFormat="1" applyFill="1" applyBorder="1" applyAlignment="1">
      <alignment vertical="top"/>
    </xf>
    <xf numFmtId="167" fontId="0" fillId="2" borderId="12" xfId="0" applyNumberFormat="1" applyFill="1" applyBorder="1" applyAlignment="1">
      <alignment vertical="top"/>
    </xf>
    <xf numFmtId="0" fontId="0" fillId="0" borderId="0" xfId="0" applyAlignment="1">
      <alignment vertical="center" wrapText="1"/>
    </xf>
    <xf numFmtId="165" fontId="0" fillId="0" borderId="29" xfId="0" applyNumberFormat="1" applyBorder="1" applyAlignment="1">
      <alignment vertical="top"/>
    </xf>
    <xf numFmtId="0" fontId="0" fillId="5" borderId="31" xfId="0" applyFill="1" applyBorder="1" applyAlignment="1">
      <alignment vertical="top"/>
    </xf>
    <xf numFmtId="165" fontId="0" fillId="5" borderId="31" xfId="0" applyNumberFormat="1" applyFill="1" applyBorder="1" applyAlignment="1">
      <alignment vertical="top"/>
    </xf>
    <xf numFmtId="166" fontId="0" fillId="5" borderId="25" xfId="0" applyNumberFormat="1" applyFill="1" applyBorder="1" applyAlignment="1">
      <alignment vertical="top"/>
    </xf>
    <xf numFmtId="0" fontId="0" fillId="0" borderId="41" xfId="0" applyBorder="1" applyAlignment="1">
      <alignment horizontal="center" vertical="center"/>
    </xf>
    <xf numFmtId="1" fontId="0" fillId="2" borderId="30" xfId="0" applyNumberFormat="1" applyFill="1" applyBorder="1" applyAlignment="1">
      <alignment vertical="top"/>
    </xf>
    <xf numFmtId="167" fontId="0" fillId="2" borderId="30" xfId="0" applyNumberFormat="1" applyFill="1" applyBorder="1" applyAlignment="1">
      <alignment vertical="top"/>
    </xf>
    <xf numFmtId="0" fontId="0" fillId="0" borderId="30" xfId="0" applyBorder="1" applyAlignment="1">
      <alignment vertical="top"/>
    </xf>
    <xf numFmtId="0" fontId="0" fillId="0" borderId="0" xfId="0" applyAlignment="1">
      <alignment horizontal="right" vertical="top"/>
    </xf>
    <xf numFmtId="17" fontId="0" fillId="0" borderId="0" xfId="0" applyNumberFormat="1" applyAlignment="1">
      <alignment horizontal="right" vertical="top"/>
    </xf>
    <xf numFmtId="170" fontId="0" fillId="0" borderId="0" xfId="0" applyNumberFormat="1" applyAlignment="1">
      <alignment vertical="top"/>
    </xf>
    <xf numFmtId="0" fontId="24" fillId="0" borderId="14" xfId="0" applyFont="1" applyBorder="1"/>
    <xf numFmtId="0" fontId="0" fillId="0" borderId="17" xfId="0" applyBorder="1" applyAlignment="1">
      <alignment vertical="top"/>
    </xf>
    <xf numFmtId="0" fontId="0" fillId="5" borderId="33" xfId="0" applyFill="1" applyBorder="1" applyAlignment="1">
      <alignment vertical="center" wrapText="1"/>
    </xf>
    <xf numFmtId="166" fontId="0" fillId="0" borderId="0" xfId="0" applyNumberFormat="1" applyAlignment="1">
      <alignment vertical="top"/>
    </xf>
    <xf numFmtId="0" fontId="0" fillId="0" borderId="5" xfId="0" applyBorder="1" applyAlignment="1">
      <alignment horizontal="center" vertical="center" wrapText="1"/>
    </xf>
    <xf numFmtId="0" fontId="0" fillId="0" borderId="5" xfId="0" applyBorder="1" applyAlignment="1">
      <alignment vertical="center" wrapText="1"/>
    </xf>
    <xf numFmtId="0" fontId="0" fillId="5" borderId="33" xfId="0" applyFill="1" applyBorder="1" applyAlignment="1">
      <alignment horizontal="center" vertical="center" wrapText="1"/>
    </xf>
    <xf numFmtId="10" fontId="0" fillId="0" borderId="0" xfId="0" applyNumberFormat="1" applyAlignment="1">
      <alignment vertical="top"/>
    </xf>
    <xf numFmtId="0" fontId="0" fillId="0" borderId="50" xfId="0" applyBorder="1" applyAlignment="1">
      <alignment vertical="top"/>
    </xf>
    <xf numFmtId="166" fontId="0" fillId="0" borderId="43" xfId="0" applyNumberFormat="1" applyBorder="1" applyAlignment="1">
      <alignment vertical="top"/>
    </xf>
    <xf numFmtId="0" fontId="0" fillId="0" borderId="51" xfId="0" applyBorder="1" applyAlignment="1">
      <alignment vertical="top"/>
    </xf>
    <xf numFmtId="166" fontId="28" fillId="0" borderId="0" xfId="0" applyNumberFormat="1" applyFont="1" applyAlignment="1">
      <alignment vertical="top"/>
    </xf>
    <xf numFmtId="166" fontId="28" fillId="0" borderId="43" xfId="0" applyNumberFormat="1" applyFont="1" applyBorder="1" applyAlignment="1">
      <alignment vertical="top"/>
    </xf>
    <xf numFmtId="166" fontId="28" fillId="0" borderId="53" xfId="0" applyNumberFormat="1" applyFont="1" applyBorder="1" applyAlignment="1">
      <alignment vertical="top"/>
    </xf>
    <xf numFmtId="166" fontId="28" fillId="0" borderId="57" xfId="0" applyNumberFormat="1" applyFont="1" applyBorder="1" applyAlignment="1">
      <alignment vertical="top"/>
    </xf>
    <xf numFmtId="1" fontId="0" fillId="0" borderId="30" xfId="0" applyNumberFormat="1" applyBorder="1" applyAlignment="1">
      <alignment vertical="top"/>
    </xf>
    <xf numFmtId="167" fontId="0" fillId="0" borderId="30" xfId="0" applyNumberFormat="1" applyBorder="1" applyAlignment="1">
      <alignment vertical="top"/>
    </xf>
    <xf numFmtId="2" fontId="0" fillId="0" borderId="12" xfId="0" applyNumberFormat="1" applyBorder="1" applyAlignment="1">
      <alignment vertical="top"/>
    </xf>
    <xf numFmtId="2" fontId="0" fillId="5" borderId="25" xfId="0" applyNumberFormat="1" applyFill="1" applyBorder="1" applyAlignment="1">
      <alignment vertical="top"/>
    </xf>
    <xf numFmtId="1" fontId="0" fillId="0" borderId="15" xfId="0" applyNumberFormat="1" applyBorder="1" applyAlignment="1">
      <alignment vertical="top"/>
    </xf>
    <xf numFmtId="167" fontId="0" fillId="0" borderId="15" xfId="0" applyNumberFormat="1" applyBorder="1" applyAlignment="1">
      <alignment vertical="top"/>
    </xf>
    <xf numFmtId="2" fontId="0" fillId="0" borderId="15" xfId="0" applyNumberFormat="1" applyBorder="1" applyAlignment="1">
      <alignment vertical="top"/>
    </xf>
    <xf numFmtId="0" fontId="0" fillId="0" borderId="25" xfId="0" applyBorder="1" applyAlignment="1">
      <alignment horizontal="left" vertical="top"/>
    </xf>
    <xf numFmtId="0" fontId="0" fillId="0" borderId="31" xfId="0" applyBorder="1" applyAlignment="1">
      <alignment horizontal="left" vertical="top"/>
    </xf>
    <xf numFmtId="0" fontId="3" fillId="0" borderId="31" xfId="0" applyFont="1" applyBorder="1" applyAlignment="1">
      <alignment horizontal="left" vertical="top"/>
    </xf>
    <xf numFmtId="1" fontId="0" fillId="5" borderId="25" xfId="0" applyNumberFormat="1" applyFill="1" applyBorder="1" applyAlignment="1">
      <alignment vertical="top"/>
    </xf>
    <xf numFmtId="167" fontId="0" fillId="5" borderId="25" xfId="0" applyNumberFormat="1" applyFill="1" applyBorder="1" applyAlignment="1">
      <alignment vertical="top"/>
    </xf>
    <xf numFmtId="2" fontId="0" fillId="0" borderId="11" xfId="0" applyNumberFormat="1" applyBorder="1" applyAlignment="1">
      <alignment vertical="top"/>
    </xf>
    <xf numFmtId="2" fontId="0" fillId="0" borderId="13" xfId="0" applyNumberFormat="1" applyBorder="1" applyAlignment="1">
      <alignment vertical="top"/>
    </xf>
    <xf numFmtId="1" fontId="5" fillId="0" borderId="13" xfId="0" applyNumberFormat="1" applyFont="1" applyBorder="1" applyAlignment="1">
      <alignment vertical="top"/>
    </xf>
    <xf numFmtId="167" fontId="5" fillId="0" borderId="13" xfId="0" applyNumberFormat="1" applyFont="1" applyBorder="1" applyAlignment="1">
      <alignment vertical="top"/>
    </xf>
    <xf numFmtId="1" fontId="5" fillId="0" borderId="30" xfId="0" applyNumberFormat="1" applyFont="1" applyBorder="1" applyAlignment="1">
      <alignment vertical="top"/>
    </xf>
    <xf numFmtId="167" fontId="5" fillId="0" borderId="30" xfId="0" applyNumberFormat="1" applyFont="1" applyBorder="1" applyAlignment="1">
      <alignment vertical="top"/>
    </xf>
    <xf numFmtId="2" fontId="0" fillId="0" borderId="30" xfId="0" applyNumberFormat="1" applyBorder="1" applyAlignment="1">
      <alignment vertical="top"/>
    </xf>
    <xf numFmtId="2" fontId="0" fillId="0" borderId="49" xfId="0" applyNumberFormat="1" applyBorder="1" applyAlignment="1">
      <alignment vertical="top"/>
    </xf>
    <xf numFmtId="2" fontId="0" fillId="0" borderId="52" xfId="0" applyNumberFormat="1" applyBorder="1" applyAlignment="1">
      <alignment vertical="top"/>
    </xf>
    <xf numFmtId="0" fontId="2" fillId="0" borderId="29" xfId="0" applyFont="1" applyBorder="1" applyAlignment="1">
      <alignment vertical="top"/>
    </xf>
    <xf numFmtId="0" fontId="0" fillId="0" borderId="13" xfId="0" applyBorder="1" applyAlignment="1">
      <alignment vertical="top"/>
    </xf>
    <xf numFmtId="1" fontId="0" fillId="0" borderId="49" xfId="0" applyNumberFormat="1" applyBorder="1" applyAlignment="1">
      <alignment vertical="top"/>
    </xf>
    <xf numFmtId="2" fontId="0" fillId="5" borderId="31" xfId="0" applyNumberFormat="1" applyFill="1" applyBorder="1" applyAlignment="1">
      <alignment vertical="top"/>
    </xf>
    <xf numFmtId="165" fontId="0" fillId="0" borderId="0" xfId="0" applyNumberFormat="1" applyAlignment="1">
      <alignment vertical="top"/>
    </xf>
    <xf numFmtId="0" fontId="0" fillId="0" borderId="43" xfId="0" applyBorder="1" applyAlignment="1">
      <alignment vertical="top"/>
    </xf>
    <xf numFmtId="0" fontId="4" fillId="0" borderId="9" xfId="0" applyFont="1" applyBorder="1" applyAlignment="1">
      <alignment horizontal="center" vertical="center"/>
    </xf>
    <xf numFmtId="1" fontId="0" fillId="0" borderId="0" xfId="0" applyNumberFormat="1" applyAlignment="1">
      <alignment vertical="top"/>
    </xf>
    <xf numFmtId="3" fontId="0" fillId="0" borderId="0" xfId="0" applyNumberFormat="1" applyAlignment="1">
      <alignment vertical="top"/>
    </xf>
    <xf numFmtId="165" fontId="0" fillId="2" borderId="12" xfId="0" applyNumberFormat="1" applyFill="1" applyBorder="1" applyAlignment="1">
      <alignment vertical="top"/>
    </xf>
    <xf numFmtId="165" fontId="0" fillId="0" borderId="12" xfId="0" applyNumberFormat="1" applyBorder="1" applyAlignment="1">
      <alignment vertical="top"/>
    </xf>
    <xf numFmtId="166" fontId="0" fillId="0" borderId="12" xfId="0" applyNumberFormat="1" applyBorder="1" applyAlignment="1">
      <alignment vertical="top"/>
    </xf>
    <xf numFmtId="166" fontId="2" fillId="0" borderId="12" xfId="0" applyNumberFormat="1" applyFont="1" applyBorder="1" applyAlignment="1">
      <alignment vertical="top"/>
    </xf>
    <xf numFmtId="165" fontId="0" fillId="2" borderId="15" xfId="0" applyNumberFormat="1" applyFill="1" applyBorder="1" applyAlignment="1">
      <alignment vertical="top"/>
    </xf>
    <xf numFmtId="165" fontId="0" fillId="0" borderId="13" xfId="0" applyNumberFormat="1" applyBorder="1" applyAlignment="1">
      <alignment vertical="top"/>
    </xf>
    <xf numFmtId="166" fontId="0" fillId="0" borderId="15" xfId="0" applyNumberFormat="1" applyBorder="1" applyAlignment="1">
      <alignment vertical="top"/>
    </xf>
    <xf numFmtId="166" fontId="2" fillId="0" borderId="15" xfId="0" applyNumberFormat="1" applyFont="1" applyBorder="1" applyAlignment="1">
      <alignment vertical="top"/>
    </xf>
    <xf numFmtId="165" fontId="0" fillId="5" borderId="25" xfId="0" applyNumberFormat="1" applyFill="1" applyBorder="1" applyAlignment="1">
      <alignment vertical="top"/>
    </xf>
    <xf numFmtId="166" fontId="0" fillId="0" borderId="13" xfId="0" applyNumberFormat="1" applyBorder="1" applyAlignment="1">
      <alignment vertical="top"/>
    </xf>
    <xf numFmtId="0" fontId="5" fillId="0" borderId="0" xfId="0" applyFont="1" applyAlignment="1">
      <alignment vertical="top"/>
    </xf>
    <xf numFmtId="1" fontId="5" fillId="0" borderId="0" xfId="0" applyNumberFormat="1" applyFont="1" applyAlignment="1">
      <alignment vertical="top"/>
    </xf>
    <xf numFmtId="0" fontId="2" fillId="0" borderId="5" xfId="0" applyFont="1" applyBorder="1" applyAlignment="1">
      <alignment vertical="top"/>
    </xf>
    <xf numFmtId="0" fontId="5" fillId="0" borderId="0" xfId="0" applyFont="1" applyAlignment="1">
      <alignment wrapText="1"/>
    </xf>
    <xf numFmtId="0" fontId="5" fillId="0" borderId="12" xfId="0" applyFont="1" applyBorder="1" applyAlignment="1">
      <alignment vertical="top" wrapText="1"/>
    </xf>
    <xf numFmtId="0" fontId="5" fillId="0" borderId="16" xfId="0" applyFont="1" applyBorder="1" applyAlignment="1">
      <alignment vertical="top" wrapText="1"/>
    </xf>
    <xf numFmtId="0" fontId="5" fillId="0" borderId="17" xfId="0" applyFont="1" applyBorder="1" applyAlignment="1">
      <alignment vertical="top" wrapText="1"/>
    </xf>
    <xf numFmtId="0" fontId="6" fillId="0" borderId="14" xfId="0" applyFont="1" applyBorder="1" applyAlignment="1">
      <alignment vertical="top" wrapText="1"/>
    </xf>
    <xf numFmtId="0" fontId="5" fillId="0" borderId="0" xfId="0" applyFont="1" applyAlignment="1">
      <alignment vertical="top" wrapText="1"/>
    </xf>
    <xf numFmtId="0" fontId="5" fillId="0" borderId="12" xfId="0" applyFont="1" applyBorder="1" applyAlignment="1">
      <alignment horizontal="center" vertical="top" wrapText="1"/>
    </xf>
    <xf numFmtId="0" fontId="5" fillId="0" borderId="0" xfId="0" applyFont="1"/>
    <xf numFmtId="0" fontId="5" fillId="0" borderId="0" xfId="0" applyFont="1" applyAlignment="1">
      <alignment horizontal="center"/>
    </xf>
    <xf numFmtId="0" fontId="2" fillId="0" borderId="0" xfId="0" applyFont="1"/>
    <xf numFmtId="0" fontId="6" fillId="0" borderId="12" xfId="2" applyFont="1" applyFill="1" applyBorder="1" applyAlignment="1" applyProtection="1">
      <alignment vertical="top" wrapText="1"/>
    </xf>
    <xf numFmtId="0" fontId="4" fillId="5" borderId="33" xfId="0" applyFont="1" applyFill="1" applyBorder="1" applyAlignment="1">
      <alignment horizontal="center" vertical="center"/>
    </xf>
    <xf numFmtId="0" fontId="4" fillId="0" borderId="41" xfId="0" applyFont="1" applyBorder="1" applyAlignment="1">
      <alignment horizontal="center" vertical="center"/>
    </xf>
    <xf numFmtId="1" fontId="0" fillId="0" borderId="50" xfId="0" applyNumberFormat="1" applyBorder="1" applyAlignment="1">
      <alignment vertical="top"/>
    </xf>
    <xf numFmtId="2" fontId="0" fillId="0" borderId="0" xfId="0" applyNumberFormat="1" applyAlignment="1">
      <alignment vertical="top"/>
    </xf>
    <xf numFmtId="165" fontId="0" fillId="0" borderId="30" xfId="0" applyNumberFormat="1" applyBorder="1" applyAlignment="1">
      <alignment vertical="top"/>
    </xf>
    <xf numFmtId="165" fontId="0" fillId="0" borderId="50" xfId="0" applyNumberFormat="1" applyBorder="1" applyAlignment="1">
      <alignment vertical="top"/>
    </xf>
    <xf numFmtId="166" fontId="0" fillId="0" borderId="30" xfId="0" applyNumberFormat="1" applyBorder="1" applyAlignment="1">
      <alignment vertical="top"/>
    </xf>
    <xf numFmtId="0" fontId="0" fillId="5" borderId="59" xfId="0" applyFill="1" applyBorder="1" applyAlignment="1">
      <alignment vertical="top"/>
    </xf>
    <xf numFmtId="0" fontId="0" fillId="6" borderId="31" xfId="0" applyFill="1" applyBorder="1" applyAlignment="1">
      <alignment vertical="top"/>
    </xf>
    <xf numFmtId="3" fontId="0" fillId="6" borderId="31" xfId="0" applyNumberFormat="1" applyFill="1" applyBorder="1" applyAlignment="1">
      <alignment vertical="top"/>
    </xf>
    <xf numFmtId="1" fontId="0" fillId="6" borderId="31" xfId="0" applyNumberFormat="1" applyFill="1" applyBorder="1" applyAlignment="1">
      <alignment vertical="top"/>
    </xf>
    <xf numFmtId="165" fontId="0" fillId="0" borderId="5" xfId="0" applyNumberFormat="1" applyBorder="1" applyAlignment="1">
      <alignment vertical="top"/>
    </xf>
    <xf numFmtId="0" fontId="0" fillId="0" borderId="20" xfId="0" applyBorder="1" applyAlignment="1">
      <alignment vertical="top"/>
    </xf>
    <xf numFmtId="0" fontId="0" fillId="0" borderId="58" xfId="0" applyBorder="1" applyAlignment="1">
      <alignment vertical="top"/>
    </xf>
    <xf numFmtId="0" fontId="0" fillId="2" borderId="0" xfId="0" applyFill="1" applyAlignment="1">
      <alignment vertical="top"/>
    </xf>
    <xf numFmtId="0" fontId="5" fillId="0" borderId="8" xfId="0" applyFont="1" applyBorder="1" applyAlignment="1">
      <alignment horizontal="center" vertical="center"/>
    </xf>
    <xf numFmtId="0" fontId="0" fillId="0" borderId="2" xfId="0" applyBorder="1" applyAlignment="1">
      <alignment horizontal="center" vertical="center" wrapText="1"/>
    </xf>
    <xf numFmtId="1" fontId="0" fillId="2" borderId="0" xfId="0" applyNumberFormat="1" applyFill="1" applyAlignment="1">
      <alignment vertical="top"/>
    </xf>
    <xf numFmtId="2" fontId="5" fillId="0" borderId="0" xfId="0" applyNumberFormat="1" applyFont="1" applyAlignment="1">
      <alignment vertical="top"/>
    </xf>
    <xf numFmtId="2" fontId="2" fillId="0" borderId="0" xfId="0" applyNumberFormat="1" applyFont="1" applyAlignment="1">
      <alignment vertical="top"/>
    </xf>
    <xf numFmtId="0" fontId="0" fillId="0" borderId="28" xfId="0" applyBorder="1" applyAlignment="1">
      <alignment horizontal="left" vertical="top"/>
    </xf>
    <xf numFmtId="166" fontId="5" fillId="0" borderId="12" xfId="0" applyNumberFormat="1" applyFont="1" applyBorder="1" applyAlignment="1">
      <alignment vertical="top"/>
    </xf>
    <xf numFmtId="0" fontId="5" fillId="0" borderId="12" xfId="0" applyFont="1" applyBorder="1"/>
    <xf numFmtId="0" fontId="5" fillId="0" borderId="12" xfId="0" applyFont="1" applyBorder="1" applyAlignment="1">
      <alignment vertical="top"/>
    </xf>
    <xf numFmtId="0" fontId="5" fillId="0" borderId="14" xfId="0" applyFont="1" applyBorder="1" applyAlignment="1">
      <alignment vertical="top" wrapText="1"/>
    </xf>
    <xf numFmtId="0" fontId="0" fillId="0" borderId="12" xfId="0" applyBorder="1" applyAlignment="1">
      <alignment vertical="top" wrapText="1"/>
    </xf>
    <xf numFmtId="0" fontId="0" fillId="0" borderId="12" xfId="0" applyBorder="1" applyAlignment="1">
      <alignment horizontal="right" vertical="top"/>
    </xf>
    <xf numFmtId="0" fontId="4" fillId="0" borderId="1" xfId="0" applyFont="1" applyBorder="1"/>
    <xf numFmtId="0" fontId="5" fillId="0" borderId="5" xfId="0" applyFont="1" applyBorder="1"/>
    <xf numFmtId="0" fontId="5" fillId="0" borderId="5" xfId="0" applyFont="1" applyBorder="1" applyAlignment="1">
      <alignment wrapText="1"/>
    </xf>
    <xf numFmtId="2" fontId="5" fillId="0" borderId="5" xfId="0" applyNumberFormat="1" applyFont="1" applyBorder="1"/>
    <xf numFmtId="0" fontId="5" fillId="0" borderId="5" xfId="0" applyFont="1" applyBorder="1" applyAlignment="1">
      <alignment horizontal="right"/>
    </xf>
    <xf numFmtId="0" fontId="5" fillId="0" borderId="20" xfId="0" applyFont="1" applyBorder="1"/>
    <xf numFmtId="0" fontId="6" fillId="0" borderId="12" xfId="0" applyFont="1" applyBorder="1" applyAlignment="1">
      <alignment vertical="top" wrapText="1"/>
    </xf>
    <xf numFmtId="0" fontId="6" fillId="0" borderId="12" xfId="0" applyFont="1" applyBorder="1" applyAlignment="1">
      <alignment horizontal="right" vertical="top" wrapText="1"/>
    </xf>
    <xf numFmtId="0" fontId="5" fillId="0" borderId="17" xfId="0" applyFont="1" applyBorder="1" applyAlignment="1">
      <alignment horizontal="center" vertical="top" wrapText="1"/>
    </xf>
    <xf numFmtId="0" fontId="6" fillId="0" borderId="16" xfId="0" applyFont="1" applyBorder="1" applyAlignment="1">
      <alignment horizontal="left" vertical="top" wrapText="1"/>
    </xf>
    <xf numFmtId="0" fontId="6" fillId="0" borderId="16" xfId="0" applyFont="1" applyBorder="1" applyAlignment="1">
      <alignment vertical="top" wrapText="1"/>
    </xf>
    <xf numFmtId="0" fontId="5" fillId="0" borderId="37" xfId="0" applyFont="1" applyBorder="1" applyAlignment="1">
      <alignment vertical="top" wrapText="1"/>
    </xf>
    <xf numFmtId="0" fontId="6" fillId="0" borderId="37" xfId="0" applyFont="1" applyBorder="1" applyAlignment="1">
      <alignment vertical="top" wrapText="1"/>
    </xf>
    <xf numFmtId="0" fontId="5" fillId="0" borderId="37" xfId="0" applyFont="1" applyBorder="1" applyAlignment="1">
      <alignment horizontal="center" vertical="top" wrapText="1"/>
    </xf>
    <xf numFmtId="2" fontId="6" fillId="0" borderId="37" xfId="0" applyNumberFormat="1" applyFont="1" applyBorder="1" applyAlignment="1">
      <alignment vertical="top" wrapText="1"/>
    </xf>
    <xf numFmtId="0" fontId="6" fillId="0" borderId="37" xfId="0" applyFont="1" applyBorder="1" applyAlignment="1">
      <alignment horizontal="right" vertical="top" wrapText="1"/>
    </xf>
    <xf numFmtId="0" fontId="6" fillId="0" borderId="48" xfId="0" applyFont="1" applyBorder="1" applyAlignment="1">
      <alignment vertical="top" wrapText="1"/>
    </xf>
    <xf numFmtId="0" fontId="5" fillId="0" borderId="11" xfId="0" applyFont="1" applyBorder="1" applyAlignment="1">
      <alignment horizontal="left" vertical="top" wrapText="1" indent="1"/>
    </xf>
    <xf numFmtId="2" fontId="6" fillId="0" borderId="12" xfId="0" applyNumberFormat="1" applyFont="1" applyBorder="1" applyAlignment="1">
      <alignment vertical="top" wrapText="1"/>
    </xf>
    <xf numFmtId="0" fontId="6" fillId="0" borderId="18" xfId="0" applyFont="1" applyBorder="1" applyAlignment="1">
      <alignment vertical="top" wrapText="1"/>
    </xf>
    <xf numFmtId="0" fontId="5" fillId="0" borderId="18" xfId="0" applyFont="1" applyBorder="1" applyAlignment="1">
      <alignment horizontal="center" vertical="top" wrapText="1"/>
    </xf>
    <xf numFmtId="2" fontId="6" fillId="0" borderId="18" xfId="0" applyNumberFormat="1" applyFont="1" applyBorder="1" applyAlignment="1">
      <alignment vertical="top" wrapText="1"/>
    </xf>
    <xf numFmtId="0" fontId="18" fillId="0" borderId="16" xfId="0" applyFont="1" applyBorder="1" applyAlignment="1">
      <alignment vertical="top" wrapText="1"/>
    </xf>
    <xf numFmtId="0" fontId="4" fillId="0" borderId="12" xfId="0" applyFont="1" applyBorder="1" applyAlignment="1">
      <alignment horizontal="center" vertical="top" wrapText="1"/>
    </xf>
    <xf numFmtId="0" fontId="6" fillId="0" borderId="34" xfId="0" applyFont="1" applyBorder="1" applyAlignment="1">
      <alignment horizontal="left" vertical="top" wrapText="1"/>
    </xf>
    <xf numFmtId="0" fontId="6" fillId="0" borderId="34" xfId="0" applyFont="1" applyBorder="1" applyAlignment="1">
      <alignment vertical="top" wrapText="1"/>
    </xf>
    <xf numFmtId="0" fontId="6" fillId="0" borderId="22" xfId="0" applyFont="1" applyBorder="1" applyAlignment="1">
      <alignment vertical="top" wrapText="1"/>
    </xf>
    <xf numFmtId="0" fontId="6" fillId="0" borderId="34" xfId="0" applyFont="1" applyBorder="1" applyAlignment="1">
      <alignment horizontal="right" vertical="top" wrapText="1"/>
    </xf>
    <xf numFmtId="1" fontId="6" fillId="0" borderId="34" xfId="0" applyNumberFormat="1" applyFont="1" applyBorder="1" applyAlignment="1">
      <alignment horizontal="right" vertical="top" wrapText="1"/>
    </xf>
    <xf numFmtId="0" fontId="5" fillId="0" borderId="34" xfId="0" applyFont="1" applyBorder="1" applyAlignment="1">
      <alignment vertical="top" wrapText="1"/>
    </xf>
    <xf numFmtId="0" fontId="5" fillId="0" borderId="34" xfId="0" applyFont="1" applyBorder="1" applyAlignment="1">
      <alignment horizontal="center" vertical="top" wrapText="1"/>
    </xf>
    <xf numFmtId="2" fontId="6" fillId="0" borderId="34" xfId="0" applyNumberFormat="1" applyFont="1" applyBorder="1" applyAlignment="1">
      <alignment vertical="top" wrapText="1"/>
    </xf>
    <xf numFmtId="0" fontId="0" fillId="0" borderId="12" xfId="0" applyBorder="1"/>
    <xf numFmtId="0" fontId="6" fillId="0" borderId="18" xfId="0" applyFont="1" applyBorder="1" applyAlignment="1">
      <alignment horizontal="left" vertical="top" wrapText="1"/>
    </xf>
    <xf numFmtId="0" fontId="18" fillId="0" borderId="62" xfId="0" applyFont="1" applyBorder="1" applyAlignment="1">
      <alignment horizontal="center" vertical="center"/>
    </xf>
    <xf numFmtId="0" fontId="18" fillId="0" borderId="3" xfId="0" applyFont="1" applyBorder="1" applyAlignment="1">
      <alignment horizontal="center" vertical="center" wrapText="1"/>
    </xf>
    <xf numFmtId="0" fontId="18" fillId="0" borderId="3" xfId="0" applyFont="1" applyBorder="1" applyAlignment="1">
      <alignment horizontal="center" vertical="center"/>
    </xf>
    <xf numFmtId="2" fontId="18" fillId="0" borderId="3"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47" xfId="0" applyFont="1" applyBorder="1" applyAlignment="1">
      <alignment horizontal="left" vertical="top" wrapText="1"/>
    </xf>
    <xf numFmtId="0" fontId="18" fillId="0" borderId="12" xfId="0" applyFont="1" applyBorder="1" applyAlignment="1">
      <alignment vertical="top" wrapText="1"/>
    </xf>
    <xf numFmtId="0" fontId="0" fillId="8" borderId="0" xfId="0" applyFill="1" applyAlignment="1">
      <alignment vertical="top"/>
    </xf>
    <xf numFmtId="0" fontId="0" fillId="5" borderId="60" xfId="0" applyFill="1" applyBorder="1" applyAlignment="1">
      <alignment vertical="top"/>
    </xf>
    <xf numFmtId="0" fontId="5" fillId="0" borderId="13" xfId="0" applyFont="1" applyBorder="1" applyAlignment="1">
      <alignment horizontal="center" vertical="center"/>
    </xf>
    <xf numFmtId="2" fontId="0" fillId="6" borderId="65" xfId="0" applyNumberFormat="1" applyFill="1" applyBorder="1" applyAlignment="1">
      <alignment vertical="top"/>
    </xf>
    <xf numFmtId="2" fontId="0" fillId="5" borderId="33" xfId="0" applyNumberFormat="1" applyFill="1" applyBorder="1" applyAlignment="1">
      <alignment vertical="top"/>
    </xf>
    <xf numFmtId="0" fontId="2" fillId="0" borderId="0" xfId="0" applyFont="1" applyAlignment="1">
      <alignment vertical="top"/>
    </xf>
    <xf numFmtId="0" fontId="0" fillId="2" borderId="5" xfId="0" applyFill="1" applyBorder="1" applyAlignment="1">
      <alignment vertical="top"/>
    </xf>
    <xf numFmtId="168" fontId="13" fillId="4" borderId="0" xfId="0" applyNumberFormat="1" applyFont="1" applyFill="1" applyAlignment="1" applyProtection="1">
      <alignment vertical="top"/>
      <protection locked="0"/>
    </xf>
    <xf numFmtId="169" fontId="0" fillId="0" borderId="0" xfId="0" applyNumberFormat="1" applyAlignment="1">
      <alignment vertical="top"/>
    </xf>
    <xf numFmtId="169" fontId="5" fillId="0" borderId="0" xfId="0" applyNumberFormat="1" applyFont="1" applyAlignment="1">
      <alignment vertical="top"/>
    </xf>
    <xf numFmtId="0" fontId="0" fillId="0" borderId="64" xfId="0" applyBorder="1" applyAlignment="1">
      <alignment vertical="top"/>
    </xf>
    <xf numFmtId="3" fontId="5" fillId="0" borderId="0" xfId="0" applyNumberFormat="1" applyFont="1" applyAlignment="1">
      <alignment vertical="top"/>
    </xf>
    <xf numFmtId="3" fontId="0" fillId="0" borderId="64" xfId="0" applyNumberFormat="1" applyBorder="1" applyAlignment="1">
      <alignment vertical="top"/>
    </xf>
    <xf numFmtId="165" fontId="5" fillId="0" borderId="0" xfId="0" applyNumberFormat="1" applyFont="1" applyAlignment="1">
      <alignment vertical="top"/>
    </xf>
    <xf numFmtId="165" fontId="0" fillId="0" borderId="64" xfId="0" applyNumberFormat="1" applyBorder="1" applyAlignment="1">
      <alignment vertical="top"/>
    </xf>
    <xf numFmtId="1" fontId="0" fillId="0" borderId="64" xfId="0" applyNumberFormat="1" applyBorder="1" applyAlignment="1">
      <alignment vertical="top"/>
    </xf>
    <xf numFmtId="166" fontId="5" fillId="0" borderId="0" xfId="0" applyNumberFormat="1" applyFont="1" applyAlignment="1">
      <alignment vertical="top"/>
    </xf>
    <xf numFmtId="166" fontId="0" fillId="0" borderId="64" xfId="0" applyNumberFormat="1" applyBorder="1" applyAlignment="1">
      <alignment vertical="top"/>
    </xf>
    <xf numFmtId="166" fontId="0" fillId="0" borderId="28" xfId="0" applyNumberFormat="1" applyBorder="1" applyAlignment="1">
      <alignment vertical="top"/>
    </xf>
    <xf numFmtId="166" fontId="0" fillId="0" borderId="29" xfId="0" applyNumberFormat="1" applyBorder="1" applyAlignment="1">
      <alignment vertical="top"/>
    </xf>
    <xf numFmtId="166" fontId="5" fillId="0" borderId="29" xfId="0" applyNumberFormat="1" applyFont="1" applyBorder="1" applyAlignment="1">
      <alignment vertical="top"/>
    </xf>
    <xf numFmtId="166" fontId="0" fillId="0" borderId="58" xfId="0" applyNumberFormat="1" applyBorder="1" applyAlignment="1">
      <alignment vertical="top"/>
    </xf>
    <xf numFmtId="165" fontId="0" fillId="5" borderId="0" xfId="0" applyNumberFormat="1" applyFill="1" applyAlignment="1">
      <alignment vertical="top"/>
    </xf>
    <xf numFmtId="0" fontId="0" fillId="0" borderId="33" xfId="0" applyBorder="1" applyAlignment="1">
      <alignment horizontal="center" vertical="center" wrapText="1"/>
    </xf>
    <xf numFmtId="0" fontId="0" fillId="0" borderId="59" xfId="0" applyBorder="1" applyAlignment="1">
      <alignment vertical="top"/>
    </xf>
    <xf numFmtId="165" fontId="0" fillId="0" borderId="25" xfId="0" applyNumberFormat="1" applyBorder="1" applyAlignment="1">
      <alignment vertical="top"/>
    </xf>
    <xf numFmtId="165" fontId="0" fillId="0" borderId="31" xfId="0" applyNumberFormat="1" applyBorder="1" applyAlignment="1">
      <alignment vertical="top"/>
    </xf>
    <xf numFmtId="165" fontId="0" fillId="0" borderId="32" xfId="0" applyNumberFormat="1" applyBorder="1" applyAlignment="1">
      <alignment vertical="top"/>
    </xf>
    <xf numFmtId="165" fontId="0" fillId="5" borderId="61" xfId="0" applyNumberFormat="1" applyFill="1" applyBorder="1" applyAlignment="1">
      <alignment vertical="top"/>
    </xf>
    <xf numFmtId="0" fontId="0" fillId="0" borderId="31" xfId="0" applyBorder="1" applyAlignment="1">
      <alignment vertical="top"/>
    </xf>
    <xf numFmtId="166" fontId="2" fillId="0" borderId="31" xfId="0" applyNumberFormat="1" applyFont="1" applyBorder="1" applyAlignment="1">
      <alignment vertical="top"/>
    </xf>
    <xf numFmtId="166" fontId="0" fillId="5" borderId="61" xfId="0" applyNumberFormat="1" applyFill="1" applyBorder="1" applyAlignment="1">
      <alignment vertical="top"/>
    </xf>
    <xf numFmtId="0" fontId="3" fillId="0" borderId="64" xfId="0" applyFont="1" applyBorder="1" applyAlignment="1">
      <alignment vertical="top"/>
    </xf>
    <xf numFmtId="169" fontId="2" fillId="6" borderId="31" xfId="0" applyNumberFormat="1" applyFont="1" applyFill="1" applyBorder="1" applyAlignment="1">
      <alignment vertical="top"/>
    </xf>
    <xf numFmtId="165" fontId="2" fillId="6" borderId="31" xfId="0" applyNumberFormat="1" applyFont="1" applyFill="1" applyBorder="1" applyAlignment="1">
      <alignment vertical="top"/>
    </xf>
    <xf numFmtId="166" fontId="2" fillId="6" borderId="31" xfId="0" applyNumberFormat="1" applyFont="1" applyFill="1" applyBorder="1" applyAlignment="1">
      <alignment vertical="top"/>
    </xf>
    <xf numFmtId="166" fontId="2" fillId="6" borderId="32" xfId="0" applyNumberFormat="1" applyFont="1" applyFill="1" applyBorder="1" applyAlignment="1">
      <alignment vertical="top"/>
    </xf>
    <xf numFmtId="166" fontId="2" fillId="0" borderId="64" xfId="0" applyNumberFormat="1" applyFont="1" applyBorder="1" applyAlignment="1">
      <alignment vertical="top"/>
    </xf>
    <xf numFmtId="0" fontId="0" fillId="0" borderId="33" xfId="0" applyBorder="1" applyAlignment="1">
      <alignment vertical="top"/>
    </xf>
    <xf numFmtId="166" fontId="2" fillId="0" borderId="32" xfId="0" applyNumberFormat="1" applyFont="1" applyBorder="1" applyAlignment="1">
      <alignment vertical="top"/>
    </xf>
    <xf numFmtId="0" fontId="0" fillId="5" borderId="33" xfId="0" applyFill="1" applyBorder="1" applyAlignment="1">
      <alignment vertical="top"/>
    </xf>
    <xf numFmtId="165" fontId="0" fillId="0" borderId="33" xfId="0" applyNumberFormat="1" applyBorder="1" applyAlignment="1">
      <alignment vertical="top"/>
    </xf>
    <xf numFmtId="166" fontId="2" fillId="0" borderId="0" xfId="0" applyNumberFormat="1" applyFont="1" applyAlignment="1">
      <alignment vertical="top"/>
    </xf>
    <xf numFmtId="166" fontId="5" fillId="0" borderId="64" xfId="0" applyNumberFormat="1" applyFont="1" applyBorder="1" applyAlignment="1">
      <alignment vertical="top"/>
    </xf>
    <xf numFmtId="166" fontId="5" fillId="0" borderId="58" xfId="0" applyNumberFormat="1" applyFont="1" applyBorder="1" applyAlignment="1">
      <alignment vertical="top"/>
    </xf>
    <xf numFmtId="169" fontId="5" fillId="0" borderId="64" xfId="0" applyNumberFormat="1" applyFont="1" applyBorder="1" applyAlignment="1">
      <alignment vertical="top"/>
    </xf>
    <xf numFmtId="0" fontId="29" fillId="0" borderId="0" xfId="0" applyFont="1"/>
    <xf numFmtId="9" fontId="0" fillId="0" borderId="0" xfId="0" applyNumberFormat="1" applyAlignment="1">
      <alignment vertical="top"/>
    </xf>
    <xf numFmtId="166" fontId="0" fillId="0" borderId="0" xfId="0" applyNumberFormat="1"/>
    <xf numFmtId="0" fontId="5" fillId="0" borderId="34" xfId="0" applyFont="1" applyBorder="1" applyAlignment="1">
      <alignment vertical="top"/>
    </xf>
    <xf numFmtId="0" fontId="0" fillId="0" borderId="34" xfId="0" applyBorder="1" applyAlignment="1">
      <alignment vertical="top"/>
    </xf>
    <xf numFmtId="166" fontId="0" fillId="0" borderId="34" xfId="0" applyNumberFormat="1" applyBorder="1" applyAlignment="1">
      <alignment vertical="top"/>
    </xf>
    <xf numFmtId="172" fontId="5" fillId="0" borderId="0" xfId="0" applyNumberFormat="1" applyFont="1" applyAlignment="1">
      <alignment wrapText="1"/>
    </xf>
    <xf numFmtId="0" fontId="0" fillId="0" borderId="12" xfId="0" applyBorder="1" applyAlignment="1">
      <alignment horizontal="center" vertical="top"/>
    </xf>
    <xf numFmtId="0" fontId="26" fillId="0" borderId="17" xfId="0" applyFont="1" applyBorder="1" applyAlignment="1">
      <alignment wrapText="1"/>
    </xf>
    <xf numFmtId="0" fontId="16" fillId="0" borderId="51" xfId="0" applyFont="1" applyBorder="1"/>
    <xf numFmtId="0" fontId="4" fillId="0" borderId="17" xfId="0" applyFont="1" applyBorder="1"/>
    <xf numFmtId="49" fontId="4" fillId="0" borderId="17" xfId="0" applyNumberFormat="1" applyFont="1" applyBorder="1"/>
    <xf numFmtId="0" fontId="29" fillId="0" borderId="17" xfId="0" applyFont="1" applyBorder="1"/>
    <xf numFmtId="0" fontId="5" fillId="0" borderId="17" xfId="0" applyFont="1" applyBorder="1"/>
    <xf numFmtId="0" fontId="14" fillId="0" borderId="17" xfId="0" applyFont="1" applyBorder="1"/>
    <xf numFmtId="0" fontId="5" fillId="0" borderId="17" xfId="0" applyFont="1" applyBorder="1" applyAlignment="1">
      <alignment horizontal="center"/>
    </xf>
    <xf numFmtId="0" fontId="15" fillId="0" borderId="17" xfId="0" applyFont="1" applyBorder="1" applyAlignment="1">
      <alignment wrapText="1"/>
    </xf>
    <xf numFmtId="0" fontId="5" fillId="0" borderId="46" xfId="0" applyFont="1" applyBorder="1"/>
    <xf numFmtId="0" fontId="26" fillId="0" borderId="12" xfId="0" applyFont="1" applyBorder="1" applyAlignment="1">
      <alignment wrapText="1"/>
    </xf>
    <xf numFmtId="0" fontId="4" fillId="0" borderId="12" xfId="0" applyFont="1" applyBorder="1" applyAlignment="1">
      <alignment wrapText="1"/>
    </xf>
    <xf numFmtId="0" fontId="4" fillId="0" borderId="12" xfId="0" applyFont="1" applyBorder="1"/>
    <xf numFmtId="0" fontId="4" fillId="0" borderId="12" xfId="0" applyFont="1" applyBorder="1" applyAlignment="1">
      <alignment horizontal="center"/>
    </xf>
    <xf numFmtId="0" fontId="0" fillId="0" borderId="16" xfId="0" applyBorder="1" applyAlignment="1">
      <alignment horizontal="center" vertical="top"/>
    </xf>
    <xf numFmtId="0" fontId="4" fillId="0" borderId="53" xfId="0" applyFont="1" applyBorder="1" applyAlignment="1">
      <alignment horizontal="center" vertical="top"/>
    </xf>
    <xf numFmtId="171" fontId="5" fillId="0" borderId="53" xfId="0" applyNumberFormat="1" applyFont="1" applyBorder="1" applyAlignment="1">
      <alignment horizontal="center" vertical="top"/>
    </xf>
    <xf numFmtId="0" fontId="5" fillId="0" borderId="16" xfId="0" applyFont="1" applyBorder="1" applyAlignment="1">
      <alignment vertical="top"/>
    </xf>
    <xf numFmtId="0" fontId="5" fillId="0" borderId="3" xfId="0" applyFont="1" applyBorder="1" applyAlignment="1">
      <alignment vertical="top" wrapText="1"/>
    </xf>
    <xf numFmtId="0" fontId="5" fillId="0" borderId="16" xfId="0" applyFont="1" applyBorder="1" applyAlignment="1">
      <alignment horizontal="center" vertical="top"/>
    </xf>
    <xf numFmtId="172" fontId="2" fillId="0" borderId="16" xfId="0" applyNumberFormat="1" applyFont="1" applyBorder="1" applyAlignment="1">
      <alignment vertical="top" wrapText="1"/>
    </xf>
    <xf numFmtId="0" fontId="2" fillId="0" borderId="16" xfId="0" applyFont="1" applyBorder="1" applyAlignment="1">
      <alignment vertical="top" wrapText="1"/>
    </xf>
    <xf numFmtId="0" fontId="5" fillId="0" borderId="22" xfId="0" applyFont="1" applyBorder="1" applyAlignment="1">
      <alignment vertical="top" wrapText="1"/>
    </xf>
    <xf numFmtId="0" fontId="5" fillId="0" borderId="53" xfId="0" applyFont="1" applyBorder="1" applyAlignment="1">
      <alignment horizontal="center" vertical="top"/>
    </xf>
    <xf numFmtId="167" fontId="5" fillId="0" borderId="16" xfId="0" applyNumberFormat="1" applyFont="1" applyBorder="1" applyAlignment="1">
      <alignment vertical="top" wrapText="1"/>
    </xf>
    <xf numFmtId="3" fontId="5" fillId="0" borderId="12" xfId="0" applyNumberFormat="1" applyFont="1" applyBorder="1" applyAlignment="1">
      <alignment horizontal="center" vertical="top"/>
    </xf>
    <xf numFmtId="3" fontId="5" fillId="0" borderId="12" xfId="0" applyNumberFormat="1" applyFont="1" applyBorder="1" applyAlignment="1">
      <alignment vertical="top"/>
    </xf>
    <xf numFmtId="3" fontId="5" fillId="0" borderId="12" xfId="0" applyNumberFormat="1" applyFont="1" applyBorder="1" applyAlignment="1">
      <alignment vertical="top" wrapText="1"/>
    </xf>
    <xf numFmtId="0" fontId="5" fillId="0" borderId="12" xfId="0" applyFont="1" applyBorder="1" applyAlignment="1">
      <alignment horizontal="center" vertical="top"/>
    </xf>
    <xf numFmtId="167" fontId="5" fillId="0" borderId="0" xfId="0" applyNumberFormat="1" applyFont="1" applyAlignment="1">
      <alignment vertical="top" wrapText="1"/>
    </xf>
    <xf numFmtId="0" fontId="5" fillId="0" borderId="12" xfId="0" applyFont="1" applyBorder="1" applyAlignment="1">
      <alignment horizontal="right" vertical="top"/>
    </xf>
    <xf numFmtId="172" fontId="5" fillId="0" borderId="12" xfId="0" applyNumberFormat="1" applyFont="1" applyBorder="1" applyAlignment="1">
      <alignment vertical="top"/>
    </xf>
    <xf numFmtId="0" fontId="2" fillId="0" borderId="12" xfId="0" applyFont="1" applyBorder="1" applyAlignment="1">
      <alignment vertical="top"/>
    </xf>
    <xf numFmtId="0" fontId="25" fillId="0" borderId="12" xfId="0" applyFont="1" applyBorder="1" applyAlignment="1">
      <alignment vertical="top" wrapText="1"/>
    </xf>
    <xf numFmtId="172" fontId="5" fillId="0" borderId="12" xfId="0" applyNumberFormat="1" applyFont="1" applyBorder="1" applyAlignment="1">
      <alignment vertical="top" wrapText="1"/>
    </xf>
    <xf numFmtId="0" fontId="6" fillId="0" borderId="14" xfId="2" applyFont="1" applyFill="1" applyBorder="1" applyAlignment="1" applyProtection="1">
      <alignment vertical="top" wrapText="1"/>
    </xf>
    <xf numFmtId="0" fontId="13" fillId="0" borderId="12" xfId="0" applyFont="1" applyBorder="1" applyAlignment="1">
      <alignment wrapText="1"/>
    </xf>
    <xf numFmtId="0" fontId="13" fillId="0" borderId="12" xfId="0" applyFont="1" applyBorder="1" applyAlignment="1">
      <alignment horizontal="right" vertical="top" wrapText="1"/>
    </xf>
    <xf numFmtId="0" fontId="13" fillId="0" borderId="12" xfId="0" applyFont="1" applyBorder="1" applyAlignment="1">
      <alignment vertical="top"/>
    </xf>
    <xf numFmtId="0" fontId="13" fillId="0" borderId="12" xfId="0" applyFont="1" applyBorder="1" applyAlignment="1">
      <alignment horizontal="center" vertical="top"/>
    </xf>
    <xf numFmtId="167" fontId="5" fillId="0" borderId="12" xfId="0" applyNumberFormat="1" applyFont="1" applyBorder="1" applyAlignment="1">
      <alignment vertical="top"/>
    </xf>
    <xf numFmtId="0" fontId="0" fillId="0" borderId="12" xfId="0" applyBorder="1" applyAlignment="1">
      <alignment horizontal="right" vertical="top" wrapText="1"/>
    </xf>
    <xf numFmtId="172" fontId="0" fillId="0" borderId="12" xfId="0" applyNumberFormat="1" applyBorder="1" applyAlignment="1">
      <alignment horizontal="right" vertical="top"/>
    </xf>
    <xf numFmtId="3" fontId="0" fillId="0" borderId="12" xfId="0" applyNumberFormat="1" applyBorder="1" applyAlignment="1">
      <alignment horizontal="center" vertical="top"/>
    </xf>
    <xf numFmtId="3" fontId="0" fillId="0" borderId="12" xfId="0" applyNumberFormat="1" applyBorder="1" applyAlignment="1">
      <alignment vertical="top"/>
    </xf>
    <xf numFmtId="164" fontId="5" fillId="0" borderId="14" xfId="0" applyNumberFormat="1" applyFont="1" applyBorder="1" applyAlignment="1">
      <alignment vertical="top" wrapText="1"/>
    </xf>
    <xf numFmtId="167" fontId="5" fillId="0" borderId="12" xfId="0" applyNumberFormat="1" applyFont="1" applyBorder="1" applyAlignment="1">
      <alignment vertical="top" wrapText="1"/>
    </xf>
    <xf numFmtId="0" fontId="13" fillId="0" borderId="12" xfId="0" applyFont="1" applyBorder="1" applyAlignment="1">
      <alignment vertical="top" wrapText="1"/>
    </xf>
    <xf numFmtId="0" fontId="13" fillId="0" borderId="17" xfId="0" applyFont="1" applyBorder="1" applyAlignment="1">
      <alignment vertical="top" wrapText="1"/>
    </xf>
    <xf numFmtId="0" fontId="13" fillId="0" borderId="51" xfId="0" applyFont="1" applyBorder="1" applyAlignment="1">
      <alignment vertical="top" wrapText="1"/>
    </xf>
    <xf numFmtId="0" fontId="13" fillId="0" borderId="17" xfId="0" applyFont="1" applyBorder="1" applyAlignment="1">
      <alignment horizontal="center" vertical="top" wrapText="1"/>
    </xf>
    <xf numFmtId="172" fontId="5" fillId="0" borderId="17" xfId="0" applyNumberFormat="1" applyFont="1" applyBorder="1" applyAlignment="1">
      <alignment vertical="top" wrapText="1"/>
    </xf>
    <xf numFmtId="3" fontId="13" fillId="0" borderId="17" xfId="0" applyNumberFormat="1" applyFont="1" applyBorder="1" applyAlignment="1">
      <alignment horizontal="center" vertical="top" wrapText="1"/>
    </xf>
    <xf numFmtId="3" fontId="13" fillId="0" borderId="17" xfId="0" applyNumberFormat="1" applyFont="1" applyBorder="1" applyAlignment="1">
      <alignment vertical="top" wrapText="1"/>
    </xf>
    <xf numFmtId="3" fontId="13" fillId="0" borderId="12" xfId="0" applyNumberFormat="1" applyFont="1" applyBorder="1" applyAlignment="1">
      <alignment vertical="top" wrapText="1"/>
    </xf>
    <xf numFmtId="172" fontId="5" fillId="0" borderId="17" xfId="0" applyNumberFormat="1" applyFont="1" applyBorder="1" applyAlignment="1">
      <alignment vertical="top"/>
    </xf>
    <xf numFmtId="0" fontId="5" fillId="0" borderId="14" xfId="0" applyFont="1" applyBorder="1" applyAlignment="1">
      <alignment vertical="top"/>
    </xf>
    <xf numFmtId="0" fontId="15" fillId="0" borderId="12" xfId="0" applyFont="1" applyBorder="1" applyAlignment="1">
      <alignment horizontal="center" vertical="top"/>
    </xf>
    <xf numFmtId="1" fontId="5" fillId="0" borderId="12" xfId="0" applyNumberFormat="1" applyFont="1" applyBorder="1" applyAlignment="1">
      <alignment vertical="top" wrapText="1"/>
    </xf>
    <xf numFmtId="172" fontId="6" fillId="0" borderId="12" xfId="0" applyNumberFormat="1" applyFont="1" applyBorder="1" applyAlignment="1">
      <alignment horizontal="right" vertical="top" wrapText="1"/>
    </xf>
    <xf numFmtId="1" fontId="4" fillId="0" borderId="12" xfId="0" applyNumberFormat="1" applyFont="1" applyBorder="1" applyAlignment="1">
      <alignment horizontal="center" vertical="top"/>
    </xf>
    <xf numFmtId="0" fontId="6" fillId="0" borderId="12" xfId="0" applyFont="1" applyBorder="1" applyAlignment="1">
      <alignment horizontal="center" vertical="top" wrapText="1"/>
    </xf>
    <xf numFmtId="0" fontId="5" fillId="0" borderId="14" xfId="0" applyFont="1" applyBorder="1" applyAlignment="1">
      <alignment wrapText="1"/>
    </xf>
    <xf numFmtId="0" fontId="23" fillId="0" borderId="12" xfId="0" applyFont="1" applyBorder="1" applyAlignment="1">
      <alignment vertical="top" wrapText="1"/>
    </xf>
    <xf numFmtId="0" fontId="5" fillId="0" borderId="12" xfId="0" applyFont="1" applyBorder="1" applyAlignment="1">
      <alignment wrapText="1"/>
    </xf>
    <xf numFmtId="0" fontId="5" fillId="0" borderId="12" xfId="0" applyFont="1" applyBorder="1" applyAlignment="1">
      <alignment horizontal="center"/>
    </xf>
    <xf numFmtId="0" fontId="5" fillId="0" borderId="12" xfId="0" applyFont="1" applyBorder="1" applyAlignment="1">
      <alignment horizontal="left" vertical="top" wrapText="1"/>
    </xf>
    <xf numFmtId="172" fontId="5" fillId="0" borderId="12" xfId="0" applyNumberFormat="1" applyFont="1" applyBorder="1" applyAlignment="1">
      <alignment horizontal="right" vertical="top" wrapText="1"/>
    </xf>
    <xf numFmtId="0" fontId="7" fillId="0" borderId="12" xfId="2" applyFill="1" applyBorder="1" applyAlignment="1" applyProtection="1">
      <alignment vertical="top" wrapText="1"/>
    </xf>
    <xf numFmtId="0" fontId="0" fillId="0" borderId="0" xfId="0" applyAlignment="1">
      <alignment vertical="top" wrapText="1"/>
    </xf>
    <xf numFmtId="0" fontId="17" fillId="0" borderId="14" xfId="2" applyFont="1" applyFill="1" applyBorder="1" applyAlignment="1" applyProtection="1">
      <alignment vertical="top" wrapText="1"/>
    </xf>
    <xf numFmtId="0" fontId="21" fillId="0" borderId="14" xfId="0" applyFont="1" applyBorder="1" applyAlignment="1">
      <alignment vertical="top" wrapText="1"/>
    </xf>
    <xf numFmtId="0" fontId="5" fillId="0" borderId="53" xfId="0" applyFont="1" applyBorder="1"/>
    <xf numFmtId="3" fontId="5" fillId="0" borderId="17" xfId="0" applyNumberFormat="1" applyFont="1" applyBorder="1" applyAlignment="1">
      <alignment vertical="top" wrapText="1"/>
    </xf>
    <xf numFmtId="0" fontId="5" fillId="0" borderId="17" xfId="0" applyFont="1" applyBorder="1" applyAlignment="1">
      <alignment horizontal="center" vertical="top"/>
    </xf>
    <xf numFmtId="0" fontId="31" fillId="0" borderId="14" xfId="2" applyFont="1" applyFill="1" applyBorder="1" applyAlignment="1" applyProtection="1">
      <alignment vertical="top" wrapText="1"/>
    </xf>
    <xf numFmtId="0" fontId="5" fillId="0" borderId="17" xfId="0" applyFont="1" applyBorder="1" applyAlignment="1">
      <alignment vertical="top"/>
    </xf>
    <xf numFmtId="0" fontId="5" fillId="0" borderId="12" xfId="0" applyFont="1" applyBorder="1" applyAlignment="1">
      <alignment horizontal="left" vertical="top"/>
    </xf>
    <xf numFmtId="0" fontId="0" fillId="0" borderId="12" xfId="0" applyBorder="1" applyAlignment="1">
      <alignment horizontal="left" vertical="top" wrapText="1"/>
    </xf>
    <xf numFmtId="3" fontId="0" fillId="0" borderId="17" xfId="0" applyNumberFormat="1" applyBorder="1" applyAlignment="1">
      <alignment vertical="top"/>
    </xf>
    <xf numFmtId="0" fontId="6" fillId="0" borderId="14" xfId="0" applyFont="1" applyBorder="1" applyAlignment="1">
      <alignment horizontal="left" vertical="top" wrapText="1"/>
    </xf>
    <xf numFmtId="0" fontId="30" fillId="0" borderId="14" xfId="0" applyFont="1" applyBorder="1"/>
    <xf numFmtId="0" fontId="20" fillId="0" borderId="12" xfId="0" applyFont="1" applyBorder="1" applyAlignment="1">
      <alignment horizontal="center" vertical="top"/>
    </xf>
    <xf numFmtId="0" fontId="0" fillId="0" borderId="12" xfId="0" applyBorder="1" applyAlignment="1">
      <alignment horizontal="left" vertical="top"/>
    </xf>
    <xf numFmtId="3" fontId="0" fillId="0" borderId="12" xfId="0" applyNumberFormat="1" applyBorder="1" applyAlignment="1">
      <alignment horizontal="left" vertical="top"/>
    </xf>
    <xf numFmtId="3" fontId="13" fillId="0" borderId="12" xfId="0" applyNumberFormat="1" applyFont="1" applyBorder="1" applyAlignment="1">
      <alignment vertical="top"/>
    </xf>
    <xf numFmtId="171" fontId="5" fillId="0" borderId="57" xfId="0" applyNumberFormat="1" applyFont="1" applyBorder="1" applyAlignment="1">
      <alignment horizontal="center" vertical="top"/>
    </xf>
    <xf numFmtId="0" fontId="0" fillId="0" borderId="17" xfId="0" applyBorder="1" applyAlignment="1">
      <alignment horizontal="right" vertical="top" wrapText="1"/>
    </xf>
    <xf numFmtId="0" fontId="5" fillId="0" borderId="17" xfId="0" applyFont="1" applyBorder="1" applyAlignment="1">
      <alignment horizontal="right" vertical="top" wrapText="1"/>
    </xf>
    <xf numFmtId="0" fontId="0" fillId="0" borderId="17" xfId="0" applyBorder="1" applyAlignment="1">
      <alignment horizontal="center" vertical="top"/>
    </xf>
    <xf numFmtId="0" fontId="0" fillId="0" borderId="17" xfId="0" applyBorder="1" applyAlignment="1">
      <alignment horizontal="left" vertical="top"/>
    </xf>
    <xf numFmtId="0" fontId="6" fillId="0" borderId="46" xfId="0" applyFont="1" applyBorder="1" applyAlignment="1">
      <alignment horizontal="left" vertical="top" wrapText="1"/>
    </xf>
    <xf numFmtId="171" fontId="5" fillId="0" borderId="12" xfId="0" applyNumberFormat="1" applyFont="1" applyBorder="1" applyAlignment="1">
      <alignment horizontal="center" vertical="top"/>
    </xf>
    <xf numFmtId="1" fontId="4" fillId="0" borderId="17" xfId="0" applyNumberFormat="1" applyFont="1" applyBorder="1" applyAlignment="1">
      <alignment horizontal="center" vertical="top"/>
    </xf>
    <xf numFmtId="0" fontId="4" fillId="0" borderId="12" xfId="0" applyFont="1" applyBorder="1" applyAlignment="1">
      <alignment vertical="top" wrapText="1"/>
    </xf>
    <xf numFmtId="0" fontId="5" fillId="0" borderId="60" xfId="0" applyFont="1" applyBorder="1"/>
    <xf numFmtId="0" fontId="5" fillId="0" borderId="63" xfId="0" applyFont="1" applyBorder="1"/>
    <xf numFmtId="0" fontId="5" fillId="0" borderId="37" xfId="0" applyFont="1" applyBorder="1"/>
    <xf numFmtId="1" fontId="5" fillId="0" borderId="37" xfId="0" applyNumberFormat="1" applyFont="1" applyBorder="1"/>
    <xf numFmtId="0" fontId="5" fillId="0" borderId="37" xfId="0" applyFont="1" applyBorder="1" applyAlignment="1">
      <alignment horizontal="center"/>
    </xf>
    <xf numFmtId="0" fontId="5" fillId="0" borderId="38" xfId="0" applyFont="1" applyBorder="1"/>
    <xf numFmtId="0" fontId="5" fillId="0" borderId="60" xfId="0" applyFont="1" applyBorder="1" applyAlignment="1">
      <alignment vertical="top" wrapText="1"/>
    </xf>
    <xf numFmtId="1" fontId="5" fillId="0" borderId="16" xfId="0" applyNumberFormat="1" applyFont="1" applyBorder="1" applyAlignment="1">
      <alignment vertical="top" wrapText="1"/>
    </xf>
    <xf numFmtId="0" fontId="5" fillId="0" borderId="0" xfId="0" applyFont="1" applyAlignment="1">
      <alignment horizontal="center" vertical="top"/>
    </xf>
    <xf numFmtId="0" fontId="6" fillId="0" borderId="0" xfId="0" applyFont="1" applyAlignment="1">
      <alignment vertical="top" wrapText="1"/>
    </xf>
    <xf numFmtId="0" fontId="5" fillId="0" borderId="25" xfId="0" applyFont="1" applyBorder="1" applyAlignment="1">
      <alignment vertical="top" wrapText="1"/>
    </xf>
    <xf numFmtId="0" fontId="5" fillId="0" borderId="61" xfId="0" applyFont="1" applyBorder="1" applyAlignment="1">
      <alignment vertical="top" wrapText="1"/>
    </xf>
    <xf numFmtId="0" fontId="17" fillId="0" borderId="8" xfId="2" applyFont="1" applyFill="1" applyBorder="1" applyAlignment="1" applyProtection="1">
      <alignment vertical="top" wrapText="1"/>
    </xf>
    <xf numFmtId="0" fontId="5" fillId="0" borderId="0" xfId="0" applyFont="1" applyAlignment="1">
      <alignment horizontal="center" vertical="center"/>
    </xf>
    <xf numFmtId="0" fontId="5" fillId="0" borderId="0" xfId="0" applyFont="1" applyAlignment="1">
      <alignment horizontal="left" indent="1"/>
    </xf>
    <xf numFmtId="2" fontId="5" fillId="0" borderId="0" xfId="0" applyNumberFormat="1" applyFont="1"/>
    <xf numFmtId="0" fontId="5" fillId="0" borderId="0" xfId="0" applyFont="1" applyAlignment="1">
      <alignment horizontal="right"/>
    </xf>
    <xf numFmtId="0" fontId="32" fillId="0" borderId="0" xfId="0" applyFont="1"/>
    <xf numFmtId="1" fontId="5" fillId="0" borderId="14" xfId="0" applyNumberFormat="1" applyFont="1" applyBorder="1" applyAlignment="1">
      <alignment vertical="top" wrapText="1"/>
    </xf>
    <xf numFmtId="3" fontId="5" fillId="0" borderId="17" xfId="0" applyNumberFormat="1" applyFont="1" applyBorder="1" applyAlignment="1">
      <alignment horizontal="center"/>
    </xf>
    <xf numFmtId="3" fontId="4" fillId="0" borderId="12" xfId="0" applyNumberFormat="1" applyFont="1" applyBorder="1" applyAlignment="1">
      <alignment horizontal="center" wrapText="1"/>
    </xf>
    <xf numFmtId="3" fontId="2" fillId="0" borderId="17" xfId="0" applyNumberFormat="1" applyFont="1" applyBorder="1" applyAlignment="1">
      <alignment vertical="top" wrapText="1"/>
    </xf>
    <xf numFmtId="3" fontId="2" fillId="0" borderId="34" xfId="0" applyNumberFormat="1" applyFont="1" applyBorder="1" applyAlignment="1">
      <alignment vertical="top" wrapText="1"/>
    </xf>
    <xf numFmtId="3" fontId="2" fillId="0" borderId="12" xfId="0" applyNumberFormat="1" applyFont="1" applyBorder="1" applyAlignment="1">
      <alignment vertical="top"/>
    </xf>
    <xf numFmtId="3" fontId="0" fillId="0" borderId="12" xfId="1" applyNumberFormat="1" applyFont="1" applyFill="1" applyBorder="1" applyAlignment="1">
      <alignment vertical="top"/>
    </xf>
    <xf numFmtId="3" fontId="5" fillId="0" borderId="12" xfId="1" applyNumberFormat="1" applyFont="1" applyFill="1" applyBorder="1" applyAlignment="1">
      <alignment vertical="top"/>
    </xf>
    <xf numFmtId="3" fontId="6" fillId="0" borderId="12" xfId="0" applyNumberFormat="1" applyFont="1" applyBorder="1" applyAlignment="1">
      <alignment vertical="top"/>
    </xf>
    <xf numFmtId="3" fontId="5" fillId="0" borderId="0" xfId="0" applyNumberFormat="1" applyFont="1" applyAlignment="1">
      <alignment vertical="top" wrapText="1"/>
    </xf>
    <xf numFmtId="3" fontId="2" fillId="0" borderId="17" xfId="0" applyNumberFormat="1" applyFont="1" applyBorder="1" applyAlignment="1">
      <alignment vertical="top"/>
    </xf>
    <xf numFmtId="3" fontId="5" fillId="0" borderId="17" xfId="0" applyNumberFormat="1" applyFont="1" applyBorder="1" applyAlignment="1">
      <alignment vertical="top"/>
    </xf>
    <xf numFmtId="3" fontId="5" fillId="0" borderId="17" xfId="1" applyNumberFormat="1" applyFont="1" applyFill="1" applyBorder="1" applyAlignment="1">
      <alignment vertical="top"/>
    </xf>
    <xf numFmtId="3" fontId="5" fillId="0" borderId="34" xfId="0" applyNumberFormat="1" applyFont="1" applyBorder="1" applyAlignment="1">
      <alignment vertical="top"/>
    </xf>
    <xf numFmtId="3" fontId="5" fillId="0" borderId="37" xfId="0" applyNumberFormat="1" applyFont="1" applyBorder="1"/>
    <xf numFmtId="3" fontId="5" fillId="0" borderId="16" xfId="0" applyNumberFormat="1" applyFont="1" applyBorder="1" applyAlignment="1">
      <alignment vertical="top" wrapText="1"/>
    </xf>
    <xf numFmtId="3" fontId="5" fillId="0" borderId="0" xfId="0" applyNumberFormat="1" applyFont="1" applyAlignment="1">
      <alignment horizontal="center"/>
    </xf>
    <xf numFmtId="3" fontId="2" fillId="0" borderId="17" xfId="0" applyNumberFormat="1" applyFont="1" applyBorder="1" applyAlignment="1">
      <alignment horizontal="center" vertical="top" wrapText="1"/>
    </xf>
    <xf numFmtId="3" fontId="2" fillId="0" borderId="12" xfId="0" applyNumberFormat="1" applyFont="1" applyBorder="1" applyAlignment="1">
      <alignment horizontal="center" vertical="top"/>
    </xf>
    <xf numFmtId="3" fontId="0" fillId="0" borderId="12" xfId="1" applyNumberFormat="1" applyFont="1" applyFill="1" applyBorder="1" applyAlignment="1">
      <alignment horizontal="right" vertical="top"/>
    </xf>
    <xf numFmtId="3" fontId="5" fillId="0" borderId="12" xfId="0" applyNumberFormat="1" applyFont="1" applyBorder="1" applyAlignment="1">
      <alignment horizontal="center" vertical="top" wrapText="1"/>
    </xf>
    <xf numFmtId="3" fontId="4" fillId="0" borderId="12" xfId="0" applyNumberFormat="1" applyFont="1" applyBorder="1" applyAlignment="1">
      <alignment horizontal="center" vertical="top"/>
    </xf>
    <xf numFmtId="3" fontId="32" fillId="0" borderId="12" xfId="0" applyNumberFormat="1" applyFont="1" applyBorder="1" applyAlignment="1">
      <alignment horizontal="center" vertical="top"/>
    </xf>
    <xf numFmtId="3" fontId="5" fillId="0" borderId="12" xfId="0" applyNumberFormat="1" applyFont="1" applyBorder="1" applyAlignment="1">
      <alignment horizontal="center"/>
    </xf>
    <xf numFmtId="3" fontId="5" fillId="0" borderId="0" xfId="0" applyNumberFormat="1" applyFont="1" applyAlignment="1">
      <alignment horizontal="center" vertical="top"/>
    </xf>
    <xf numFmtId="3" fontId="2" fillId="0" borderId="17" xfId="0" applyNumberFormat="1" applyFont="1" applyBorder="1" applyAlignment="1">
      <alignment horizontal="center" vertical="top"/>
    </xf>
    <xf numFmtId="0" fontId="5" fillId="0" borderId="0" xfId="0" applyFont="1" applyAlignment="1">
      <alignment horizontal="left" wrapText="1"/>
    </xf>
    <xf numFmtId="0" fontId="0" fillId="0" borderId="27" xfId="0" applyBorder="1"/>
    <xf numFmtId="0" fontId="0" fillId="0" borderId="19" xfId="0" applyBorder="1"/>
    <xf numFmtId="0" fontId="5" fillId="0" borderId="0" xfId="0" applyFont="1" applyAlignment="1">
      <alignment horizontal="center" vertical="top" wrapText="1"/>
    </xf>
    <xf numFmtId="0" fontId="21" fillId="0" borderId="21" xfId="0" applyFont="1" applyBorder="1" applyAlignment="1">
      <alignment vertical="top" wrapText="1"/>
    </xf>
    <xf numFmtId="0" fontId="21" fillId="0" borderId="16" xfId="0" applyFont="1" applyBorder="1" applyAlignment="1">
      <alignment vertical="top" wrapText="1"/>
    </xf>
    <xf numFmtId="0" fontId="2" fillId="0" borderId="16" xfId="0" applyFont="1" applyBorder="1" applyAlignment="1">
      <alignment horizontal="center" vertical="top" wrapText="1"/>
    </xf>
    <xf numFmtId="2" fontId="2" fillId="0" borderId="16" xfId="0" applyNumberFormat="1" applyFont="1" applyBorder="1" applyAlignment="1">
      <alignment horizontal="right" vertical="top" wrapText="1"/>
    </xf>
    <xf numFmtId="0" fontId="2" fillId="0" borderId="16" xfId="0" applyFont="1" applyBorder="1" applyAlignment="1">
      <alignment horizontal="right" vertical="top" wrapText="1"/>
    </xf>
    <xf numFmtId="0" fontId="2" fillId="0" borderId="16" xfId="0" applyFont="1" applyBorder="1" applyAlignment="1">
      <alignment horizontal="left" vertical="top" wrapText="1"/>
    </xf>
    <xf numFmtId="0" fontId="2" fillId="0" borderId="12" xfId="0" applyFont="1" applyBorder="1" applyAlignment="1">
      <alignment horizontal="left" vertical="top" wrapText="1"/>
    </xf>
    <xf numFmtId="0" fontId="2" fillId="0" borderId="22" xfId="0" applyFont="1" applyBorder="1" applyAlignment="1">
      <alignment horizontal="left" vertical="top" wrapText="1"/>
    </xf>
    <xf numFmtId="0" fontId="21" fillId="0" borderId="16" xfId="0" applyFont="1" applyBorder="1" applyAlignment="1">
      <alignment horizontal="right" vertical="top" wrapText="1"/>
    </xf>
    <xf numFmtId="0" fontId="21" fillId="0" borderId="16" xfId="0" applyFont="1" applyBorder="1" applyAlignment="1">
      <alignment horizontal="left" vertical="top" wrapText="1"/>
    </xf>
    <xf numFmtId="0" fontId="21" fillId="0" borderId="12" xfId="0" applyFont="1" applyBorder="1" applyAlignment="1">
      <alignment vertical="top" wrapText="1"/>
    </xf>
    <xf numFmtId="0" fontId="21" fillId="0" borderId="36" xfId="0" applyFont="1" applyBorder="1" applyAlignment="1">
      <alignment vertical="top" wrapText="1"/>
    </xf>
    <xf numFmtId="0" fontId="21" fillId="0" borderId="37" xfId="0" applyFont="1" applyBorder="1" applyAlignment="1">
      <alignment vertical="top" wrapText="1"/>
    </xf>
    <xf numFmtId="1" fontId="21" fillId="0" borderId="37" xfId="0" applyNumberFormat="1" applyFont="1" applyBorder="1" applyAlignment="1">
      <alignment horizontal="right" vertical="top" wrapText="1"/>
    </xf>
    <xf numFmtId="0" fontId="21" fillId="0" borderId="37" xfId="0" applyFont="1" applyBorder="1" applyAlignment="1">
      <alignment horizontal="right" vertical="top" wrapText="1"/>
    </xf>
    <xf numFmtId="0" fontId="21" fillId="0" borderId="38" xfId="0" applyFont="1" applyBorder="1" applyAlignment="1">
      <alignment vertical="top" wrapText="1"/>
    </xf>
    <xf numFmtId="0" fontId="21" fillId="0" borderId="8" xfId="0" applyFont="1" applyBorder="1" applyAlignment="1">
      <alignment vertical="top" wrapText="1"/>
    </xf>
    <xf numFmtId="0" fontId="2" fillId="0" borderId="11"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8" xfId="0" applyFont="1" applyBorder="1" applyAlignment="1">
      <alignment horizontal="center" vertical="top" wrapText="1"/>
    </xf>
    <xf numFmtId="164" fontId="2" fillId="0" borderId="8" xfId="0" applyNumberFormat="1" applyFont="1" applyBorder="1" applyAlignment="1">
      <alignment vertical="top" wrapText="1"/>
    </xf>
    <xf numFmtId="0" fontId="2" fillId="0" borderId="8" xfId="0" applyFont="1" applyBorder="1" applyAlignment="1">
      <alignment horizontal="right" vertical="top" wrapText="1"/>
    </xf>
    <xf numFmtId="17" fontId="2" fillId="0" borderId="8" xfId="0" applyNumberFormat="1" applyFont="1" applyBorder="1" applyAlignment="1">
      <alignment horizontal="right" vertical="top" wrapText="1"/>
    </xf>
    <xf numFmtId="0" fontId="33" fillId="0" borderId="10" xfId="0" applyFont="1" applyBorder="1" applyAlignment="1">
      <alignment vertical="top" wrapText="1"/>
    </xf>
    <xf numFmtId="0" fontId="0" fillId="0" borderId="12" xfId="0" applyBorder="1" applyAlignment="1">
      <alignment wrapText="1"/>
    </xf>
    <xf numFmtId="0" fontId="0" fillId="0" borderId="12" xfId="0" applyBorder="1" applyAlignment="1">
      <alignment horizontal="center" vertical="center"/>
    </xf>
    <xf numFmtId="2" fontId="0" fillId="0" borderId="12" xfId="0" applyNumberFormat="1" applyBorder="1"/>
    <xf numFmtId="0" fontId="0" fillId="0" borderId="12" xfId="0" applyBorder="1" applyAlignment="1">
      <alignment horizontal="right"/>
    </xf>
    <xf numFmtId="0" fontId="6" fillId="9" borderId="19" xfId="0" applyFont="1" applyFill="1" applyBorder="1" applyAlignment="1">
      <alignment vertical="top" wrapText="1"/>
    </xf>
    <xf numFmtId="0" fontId="5" fillId="0" borderId="27" xfId="0" applyFont="1" applyBorder="1" applyAlignment="1">
      <alignment horizontal="left" vertical="top" wrapText="1" indent="1"/>
    </xf>
    <xf numFmtId="0" fontId="5" fillId="0" borderId="18" xfId="0" applyFont="1" applyBorder="1" applyAlignment="1">
      <alignment vertical="top" wrapText="1"/>
    </xf>
    <xf numFmtId="0" fontId="5" fillId="0" borderId="45" xfId="0" applyFont="1" applyBorder="1" applyAlignment="1">
      <alignment horizontal="left" vertical="top" wrapText="1"/>
    </xf>
    <xf numFmtId="0" fontId="0" fillId="0" borderId="17" xfId="0" applyBorder="1" applyAlignment="1">
      <alignment wrapText="1"/>
    </xf>
    <xf numFmtId="0" fontId="6" fillId="0" borderId="17" xfId="0" applyFont="1" applyBorder="1" applyAlignment="1">
      <alignment vertical="top" wrapText="1"/>
    </xf>
    <xf numFmtId="0" fontId="0" fillId="0" borderId="17" xfId="0" applyBorder="1"/>
    <xf numFmtId="164" fontId="0" fillId="0" borderId="17" xfId="0" applyNumberFormat="1" applyBorder="1" applyAlignment="1">
      <alignment vertical="top"/>
    </xf>
    <xf numFmtId="0" fontId="0" fillId="0" borderId="17" xfId="0" applyBorder="1" applyAlignment="1">
      <alignment horizontal="right" vertical="top"/>
    </xf>
    <xf numFmtId="0" fontId="6" fillId="0" borderId="19" xfId="0" applyFont="1" applyBorder="1" applyAlignment="1">
      <alignment vertical="top" wrapText="1"/>
    </xf>
    <xf numFmtId="0" fontId="2" fillId="0" borderId="27" xfId="0" applyFont="1" applyBorder="1" applyAlignment="1">
      <alignment horizontal="left" vertical="top" wrapText="1"/>
    </xf>
    <xf numFmtId="0" fontId="2" fillId="0" borderId="18" xfId="0" applyFont="1" applyBorder="1" applyAlignment="1">
      <alignment vertical="top" wrapText="1"/>
    </xf>
    <xf numFmtId="0" fontId="21" fillId="0" borderId="18" xfId="0" applyFont="1" applyBorder="1" applyAlignment="1">
      <alignment vertical="top" wrapText="1"/>
    </xf>
    <xf numFmtId="0" fontId="2" fillId="0" borderId="18" xfId="0" applyFont="1" applyBorder="1"/>
    <xf numFmtId="0" fontId="2" fillId="0" borderId="18" xfId="0" applyFont="1" applyBorder="1" applyAlignment="1">
      <alignment horizontal="center" vertical="top" wrapText="1"/>
    </xf>
    <xf numFmtId="164" fontId="2" fillId="0" borderId="18" xfId="0" applyNumberFormat="1" applyFont="1" applyBorder="1" applyAlignment="1">
      <alignment vertical="top"/>
    </xf>
    <xf numFmtId="0" fontId="2" fillId="0" borderId="18" xfId="0" applyFont="1" applyBorder="1" applyAlignment="1">
      <alignment vertical="top"/>
    </xf>
    <xf numFmtId="0" fontId="2" fillId="0" borderId="18" xfId="0" applyFont="1" applyBorder="1" applyAlignment="1">
      <alignment horizontal="right" vertical="top"/>
    </xf>
    <xf numFmtId="0" fontId="2" fillId="0" borderId="19" xfId="0" applyFont="1" applyBorder="1" applyAlignment="1">
      <alignment vertical="top"/>
    </xf>
    <xf numFmtId="0" fontId="2" fillId="0" borderId="47" xfId="0" applyFont="1" applyBorder="1" applyAlignment="1">
      <alignment vertical="top" wrapText="1"/>
    </xf>
    <xf numFmtId="0" fontId="2" fillId="0" borderId="34" xfId="0" applyFont="1" applyBorder="1" applyAlignment="1">
      <alignment vertical="top" wrapText="1"/>
    </xf>
    <xf numFmtId="0" fontId="21" fillId="0" borderId="34" xfId="0" applyFont="1" applyBorder="1" applyAlignment="1">
      <alignment vertical="top" wrapText="1"/>
    </xf>
    <xf numFmtId="0" fontId="2" fillId="0" borderId="34" xfId="0" applyFont="1" applyBorder="1" applyAlignment="1">
      <alignment horizontal="center" vertical="top" wrapText="1"/>
    </xf>
    <xf numFmtId="2" fontId="21" fillId="0" borderId="34" xfId="0" applyNumberFormat="1" applyFont="1" applyBorder="1" applyAlignment="1">
      <alignment vertical="top" wrapText="1"/>
    </xf>
    <xf numFmtId="0" fontId="21" fillId="0" borderId="34" xfId="0" applyFont="1" applyBorder="1" applyAlignment="1">
      <alignment horizontal="lef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6" fillId="0" borderId="8" xfId="0" applyFont="1" applyBorder="1" applyAlignment="1">
      <alignment vertical="top" wrapText="1"/>
    </xf>
    <xf numFmtId="0" fontId="5" fillId="0" borderId="8" xfId="0" applyFont="1" applyBorder="1" applyAlignment="1">
      <alignment horizontal="center" vertical="top" wrapText="1"/>
    </xf>
    <xf numFmtId="4" fontId="6" fillId="0" borderId="8" xfId="0" applyNumberFormat="1" applyFont="1" applyBorder="1" applyAlignment="1">
      <alignment horizontal="right" vertical="top" wrapText="1"/>
    </xf>
    <xf numFmtId="3" fontId="6" fillId="0" borderId="8" xfId="0" applyNumberFormat="1" applyFont="1" applyBorder="1" applyAlignment="1">
      <alignment horizontal="center" vertical="top" wrapText="1"/>
    </xf>
    <xf numFmtId="3" fontId="6" fillId="0" borderId="12" xfId="0" applyNumberFormat="1" applyFont="1" applyBorder="1" applyAlignment="1">
      <alignment horizontal="right" vertical="top" wrapText="1"/>
    </xf>
    <xf numFmtId="0" fontId="6" fillId="0" borderId="8" xfId="0" applyFont="1" applyBorder="1" applyAlignment="1">
      <alignment horizontal="right" vertical="top" wrapText="1"/>
    </xf>
    <xf numFmtId="3" fontId="6" fillId="0" borderId="10" xfId="0" applyNumberFormat="1" applyFont="1" applyBorder="1" applyAlignment="1">
      <alignment vertical="top" wrapText="1"/>
    </xf>
    <xf numFmtId="0" fontId="5" fillId="0" borderId="16" xfId="0" applyFont="1" applyBorder="1" applyAlignment="1">
      <alignment horizontal="right" vertical="top" wrapText="1"/>
    </xf>
    <xf numFmtId="0" fontId="21" fillId="0" borderId="45" xfId="0" applyFont="1" applyBorder="1" applyAlignment="1">
      <alignment horizontal="left" vertical="top" wrapText="1" indent="1"/>
    </xf>
    <xf numFmtId="164" fontId="6" fillId="0" borderId="34" xfId="0" applyNumberFormat="1" applyFont="1" applyBorder="1" applyAlignment="1">
      <alignment vertical="top" wrapText="1"/>
    </xf>
    <xf numFmtId="0" fontId="6" fillId="0" borderId="11" xfId="0" applyFont="1" applyBorder="1" applyAlignment="1">
      <alignment horizontal="left" vertical="top" wrapText="1" indent="1"/>
    </xf>
    <xf numFmtId="0" fontId="21" fillId="0" borderId="12" xfId="0" applyFont="1" applyBorder="1" applyAlignment="1">
      <alignment horizontal="right" vertical="top" wrapText="1"/>
    </xf>
    <xf numFmtId="1" fontId="21" fillId="0" borderId="12" xfId="0" applyNumberFormat="1" applyFont="1" applyBorder="1" applyAlignment="1">
      <alignment horizontal="right" vertical="top" wrapText="1"/>
    </xf>
    <xf numFmtId="0" fontId="6" fillId="0" borderId="47" xfId="0" applyFont="1" applyBorder="1" applyAlignment="1">
      <alignment horizontal="left" vertical="top" wrapText="1" indent="1"/>
    </xf>
    <xf numFmtId="0" fontId="6" fillId="0" borderId="7" xfId="0" applyFont="1" applyBorder="1" applyAlignment="1">
      <alignment vertical="top" wrapText="1"/>
    </xf>
    <xf numFmtId="0" fontId="6" fillId="0" borderId="8" xfId="0" applyFont="1" applyBorder="1" applyAlignment="1">
      <alignment horizontal="center" vertical="top" wrapText="1"/>
    </xf>
    <xf numFmtId="2" fontId="6" fillId="0" borderId="8" xfId="0" applyNumberFormat="1" applyFont="1" applyBorder="1" applyAlignment="1">
      <alignment vertical="top" wrapText="1"/>
    </xf>
    <xf numFmtId="0" fontId="7" fillId="0" borderId="0" xfId="2" applyFill="1" applyAlignment="1" applyProtection="1">
      <alignment vertical="top"/>
    </xf>
    <xf numFmtId="0" fontId="7" fillId="0" borderId="0" xfId="2" applyFill="1" applyAlignment="1" applyProtection="1">
      <alignment vertical="top" wrapText="1"/>
    </xf>
    <xf numFmtId="0" fontId="6" fillId="0" borderId="21" xfId="0" applyFont="1" applyBorder="1" applyAlignment="1">
      <alignment vertical="top" wrapText="1"/>
    </xf>
    <xf numFmtId="0" fontId="5" fillId="0" borderId="16" xfId="0" applyFont="1" applyBorder="1" applyAlignment="1">
      <alignment horizontal="center" vertical="top" wrapText="1"/>
    </xf>
    <xf numFmtId="2" fontId="6" fillId="0" borderId="16" xfId="0" applyNumberFormat="1" applyFont="1" applyBorder="1" applyAlignment="1">
      <alignment vertical="top" wrapText="1"/>
    </xf>
    <xf numFmtId="0" fontId="6" fillId="0" borderId="16" xfId="0" applyFont="1" applyBorder="1" applyAlignment="1">
      <alignment horizontal="right" vertical="top" wrapText="1"/>
    </xf>
    <xf numFmtId="0" fontId="7" fillId="0" borderId="0" xfId="2" applyFill="1" applyAlignment="1" applyProtection="1">
      <alignment wrapText="1"/>
    </xf>
    <xf numFmtId="1" fontId="6" fillId="0" borderId="12" xfId="0" applyNumberFormat="1" applyFont="1" applyBorder="1" applyAlignment="1">
      <alignment horizontal="right" vertical="top" wrapText="1"/>
    </xf>
    <xf numFmtId="0" fontId="6" fillId="0" borderId="17" xfId="0" applyFont="1" applyBorder="1" applyAlignment="1">
      <alignment horizontal="right" vertical="top" wrapText="1"/>
    </xf>
    <xf numFmtId="0" fontId="5" fillId="0" borderId="12" xfId="0" applyFont="1" applyBorder="1" applyAlignment="1">
      <alignment horizontal="right" vertical="top" wrapText="1"/>
    </xf>
    <xf numFmtId="2" fontId="5" fillId="0" borderId="12" xfId="0" applyNumberFormat="1" applyFont="1" applyBorder="1" applyAlignment="1">
      <alignment horizontal="right" vertical="top" wrapText="1"/>
    </xf>
    <xf numFmtId="0" fontId="5" fillId="0" borderId="13" xfId="0" applyFont="1" applyBorder="1" applyAlignment="1">
      <alignment vertical="top" wrapText="1"/>
    </xf>
    <xf numFmtId="0" fontId="5" fillId="0" borderId="45" xfId="0" applyFont="1" applyBorder="1" applyAlignment="1">
      <alignment horizontal="left" vertical="top" wrapText="1" indent="1"/>
    </xf>
    <xf numFmtId="2" fontId="6" fillId="0" borderId="17" xfId="0" applyNumberFormat="1" applyFont="1" applyBorder="1" applyAlignment="1">
      <alignment horizontal="right" vertical="top" wrapText="1"/>
    </xf>
    <xf numFmtId="0" fontId="6" fillId="0" borderId="49" xfId="0" applyFont="1" applyBorder="1" applyAlignment="1">
      <alignment vertical="top" wrapText="1"/>
    </xf>
    <xf numFmtId="0" fontId="6" fillId="0" borderId="27" xfId="0" applyFont="1" applyBorder="1" applyAlignment="1">
      <alignment horizontal="left" vertical="top" wrapText="1" indent="1"/>
    </xf>
    <xf numFmtId="2" fontId="21" fillId="0" borderId="18" xfId="0" applyNumberFormat="1" applyFont="1" applyBorder="1" applyAlignment="1">
      <alignment vertical="top" wrapText="1"/>
    </xf>
    <xf numFmtId="0" fontId="21" fillId="0" borderId="18" xfId="0" applyFont="1" applyBorder="1" applyAlignment="1">
      <alignment horizontal="right" vertical="top" wrapText="1"/>
    </xf>
    <xf numFmtId="0" fontId="21" fillId="0" borderId="19" xfId="0" applyFont="1" applyBorder="1" applyAlignment="1">
      <alignment vertical="top" wrapText="1"/>
    </xf>
    <xf numFmtId="2" fontId="6" fillId="0" borderId="8" xfId="0" applyNumberFormat="1" applyFont="1" applyBorder="1" applyAlignment="1">
      <alignment horizontal="right" vertical="top" wrapText="1"/>
    </xf>
    <xf numFmtId="0" fontId="6" fillId="0" borderId="10" xfId="0" applyFont="1" applyBorder="1" applyAlignment="1">
      <alignment vertical="top" wrapText="1"/>
    </xf>
    <xf numFmtId="0" fontId="5" fillId="0" borderId="39" xfId="0" applyFont="1" applyBorder="1" applyAlignment="1">
      <alignment vertical="top" wrapText="1"/>
    </xf>
    <xf numFmtId="0" fontId="5" fillId="0" borderId="4" xfId="0" applyFont="1" applyBorder="1" applyAlignment="1">
      <alignment vertical="top" wrapText="1"/>
    </xf>
    <xf numFmtId="0" fontId="6" fillId="0" borderId="4" xfId="0" applyFont="1" applyBorder="1" applyAlignment="1">
      <alignment vertical="top" wrapText="1"/>
    </xf>
    <xf numFmtId="0" fontId="5" fillId="0" borderId="4" xfId="0" applyFont="1" applyBorder="1" applyAlignment="1">
      <alignment horizontal="center" vertical="top" wrapText="1"/>
    </xf>
    <xf numFmtId="2" fontId="6" fillId="0" borderId="4" xfId="0" applyNumberFormat="1" applyFont="1" applyBorder="1" applyAlignment="1">
      <alignment vertical="top" wrapText="1"/>
    </xf>
    <xf numFmtId="0" fontId="6" fillId="0" borderId="4" xfId="0" applyFont="1" applyBorder="1" applyAlignment="1">
      <alignment horizontal="right" vertical="top" wrapText="1"/>
    </xf>
    <xf numFmtId="0" fontId="21" fillId="0" borderId="4" xfId="0" applyFont="1" applyBorder="1" applyAlignment="1">
      <alignment horizontal="right" vertical="top" wrapText="1"/>
    </xf>
    <xf numFmtId="0" fontId="6" fillId="0" borderId="40" xfId="0" applyFont="1" applyBorder="1" applyAlignment="1">
      <alignment vertical="top" wrapText="1"/>
    </xf>
    <xf numFmtId="0" fontId="5" fillId="0" borderId="11" xfId="0" applyFont="1" applyBorder="1" applyAlignment="1">
      <alignment vertical="top" wrapText="1"/>
    </xf>
    <xf numFmtId="2" fontId="6" fillId="0" borderId="12" xfId="0" applyNumberFormat="1" applyFont="1" applyBorder="1" applyAlignment="1">
      <alignment horizontal="right" vertical="top" wrapText="1"/>
    </xf>
    <xf numFmtId="164" fontId="21" fillId="0" borderId="12" xfId="0" applyNumberFormat="1" applyFont="1" applyBorder="1" applyAlignment="1">
      <alignment vertical="top" wrapText="1"/>
    </xf>
    <xf numFmtId="0" fontId="5" fillId="0" borderId="45" xfId="0" applyFont="1" applyBorder="1" applyAlignment="1">
      <alignment vertical="top" wrapText="1"/>
    </xf>
    <xf numFmtId="164" fontId="5" fillId="0" borderId="17" xfId="0" applyNumberFormat="1" applyFont="1" applyBorder="1" applyAlignment="1">
      <alignment vertical="top" wrapText="1"/>
    </xf>
    <xf numFmtId="0" fontId="5" fillId="0" borderId="46" xfId="0" applyFont="1" applyBorder="1" applyAlignment="1">
      <alignment vertical="top" wrapText="1"/>
    </xf>
    <xf numFmtId="164" fontId="6" fillId="0" borderId="12" xfId="0" applyNumberFormat="1" applyFont="1" applyBorder="1" applyAlignment="1">
      <alignment vertical="top" wrapText="1"/>
    </xf>
    <xf numFmtId="0" fontId="0" fillId="0" borderId="12" xfId="0" applyBorder="1" applyAlignment="1">
      <alignment horizontal="center" vertical="top"/>
    </xf>
    <xf numFmtId="0" fontId="18" fillId="0" borderId="23" xfId="0" applyFont="1" applyBorder="1"/>
    <xf numFmtId="0" fontId="0" fillId="0" borderId="41" xfId="0" applyBorder="1"/>
    <xf numFmtId="0" fontId="0" fillId="0" borderId="35" xfId="0" applyBorder="1"/>
    <xf numFmtId="0" fontId="18" fillId="0" borderId="55" xfId="0" applyFont="1" applyBorder="1"/>
    <xf numFmtId="0" fontId="0" fillId="0" borderId="56" xfId="0" applyBorder="1"/>
    <xf numFmtId="0" fontId="0" fillId="0" borderId="54" xfId="0" applyBorder="1"/>
    <xf numFmtId="0" fontId="4" fillId="0" borderId="23" xfId="0" applyFont="1" applyBorder="1" applyAlignment="1">
      <alignment vertical="top" wrapText="1"/>
    </xf>
    <xf numFmtId="0" fontId="0" fillId="0" borderId="41" xfId="0" applyBorder="1" applyAlignment="1">
      <alignment vertical="top" wrapText="1"/>
    </xf>
    <xf numFmtId="0" fontId="0" fillId="0" borderId="35" xfId="0" applyBorder="1" applyAlignment="1">
      <alignment vertical="top" wrapText="1"/>
    </xf>
    <xf numFmtId="0" fontId="6" fillId="7" borderId="55" xfId="0" applyFont="1" applyFill="1" applyBorder="1" applyAlignment="1">
      <alignment vertical="top" wrapText="1"/>
    </xf>
    <xf numFmtId="0" fontId="0" fillId="7" borderId="56" xfId="0" applyFill="1" applyBorder="1" applyAlignment="1">
      <alignment vertical="top" wrapText="1"/>
    </xf>
    <xf numFmtId="0" fontId="0" fillId="7" borderId="54" xfId="0" applyFill="1" applyBorder="1" applyAlignment="1">
      <alignment vertical="top" wrapText="1"/>
    </xf>
    <xf numFmtId="0" fontId="18" fillId="0" borderId="1" xfId="0" applyFont="1" applyBorder="1"/>
    <xf numFmtId="0" fontId="0" fillId="0" borderId="5" xfId="0" applyBorder="1"/>
    <xf numFmtId="0" fontId="0" fillId="0" borderId="20" xfId="0" applyBorder="1"/>
    <xf numFmtId="0" fontId="19" fillId="0" borderId="42" xfId="0" applyFont="1" applyBorder="1" applyAlignment="1">
      <alignment vertical="top" wrapText="1"/>
    </xf>
    <xf numFmtId="0" fontId="20" fillId="0" borderId="43" xfId="0" applyFont="1" applyBorder="1" applyAlignment="1">
      <alignment vertical="top" wrapText="1"/>
    </xf>
    <xf numFmtId="0" fontId="20" fillId="0" borderId="44" xfId="0" applyFont="1" applyBorder="1" applyAlignment="1">
      <alignment vertical="top" wrapText="1"/>
    </xf>
    <xf numFmtId="0" fontId="19" fillId="0" borderId="11" xfId="0" applyFont="1" applyBorder="1" applyAlignment="1">
      <alignment vertical="top" wrapText="1"/>
    </xf>
    <xf numFmtId="0" fontId="20" fillId="0" borderId="12" xfId="0" applyFont="1" applyBorder="1" applyAlignment="1">
      <alignment vertical="top" wrapText="1"/>
    </xf>
    <xf numFmtId="0" fontId="20" fillId="0" borderId="14" xfId="0" applyFont="1" applyBorder="1" applyAlignment="1">
      <alignment vertical="top" wrapText="1"/>
    </xf>
  </cellXfs>
  <cellStyles count="4">
    <cellStyle name="Comma" xfId="1" builtinId="3"/>
    <cellStyle name="Hyperlink" xfId="2" builtinId="8"/>
    <cellStyle name="Normal" xfId="0" builtinId="0"/>
    <cellStyle name="Total intermediair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Top 50 by revenue (€ billions)</a:t>
            </a:r>
          </a:p>
        </c:rich>
      </c:tx>
      <c:overlay val="0"/>
      <c:spPr>
        <a:noFill/>
        <a:ln>
          <a:noFill/>
        </a:ln>
        <a:effectLst/>
      </c:spPr>
    </c:title>
    <c:autoTitleDeleted val="0"/>
    <c:plotArea>
      <c:layout/>
      <c:barChart>
        <c:barDir val="col"/>
        <c:grouping val="stacked"/>
        <c:varyColors val="0"/>
        <c:ser>
          <c:idx val="0"/>
          <c:order val="0"/>
          <c:tx>
            <c:strRef>
              <c:f>Trends!$AH$5</c:f>
              <c:strCache>
                <c:ptCount val="1"/>
                <c:pt idx="0">
                  <c:v>Top 10</c:v>
                </c:pt>
              </c:strCache>
            </c:strRef>
          </c:tx>
          <c:spPr>
            <a:solidFill>
              <a:schemeClr val="accent1"/>
            </a:solidFill>
            <a:ln>
              <a:noFill/>
            </a:ln>
            <a:effectLst/>
          </c:spPr>
          <c:invertIfNegative val="0"/>
          <c:cat>
            <c:numRef>
              <c:f>Trends!$AI$4:$AT$4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Trends!$AI$5:$AT$5</c:f>
              <c:numCache>
                <c:formatCode>[$€-2]\ #,##0.00</c:formatCode>
                <c:ptCount val="12"/>
                <c:pt idx="0">
                  <c:v>34.482661709399999</c:v>
                </c:pt>
                <c:pt idx="1">
                  <c:v>38.977317479999996</c:v>
                </c:pt>
                <c:pt idx="2">
                  <c:v>45.157651953300011</c:v>
                </c:pt>
                <c:pt idx="3">
                  <c:v>45.201681694999998</c:v>
                </c:pt>
                <c:pt idx="4">
                  <c:v>52.562423836400001</c:v>
                </c:pt>
                <c:pt idx="5">
                  <c:v>55.381642937120645</c:v>
                </c:pt>
                <c:pt idx="6">
                  <c:v>58.432721000000001</c:v>
                </c:pt>
                <c:pt idx="7">
                  <c:v>49.532929499999995</c:v>
                </c:pt>
                <c:pt idx="8">
                  <c:v>58.010000000000005</c:v>
                </c:pt>
                <c:pt idx="9">
                  <c:v>62.609619380000005</c:v>
                </c:pt>
                <c:pt idx="10">
                  <c:v>72.577828007999997</c:v>
                </c:pt>
                <c:pt idx="11">
                  <c:v>76.22508226059999</c:v>
                </c:pt>
              </c:numCache>
            </c:numRef>
          </c:val>
          <c:extLst>
            <c:ext xmlns:c16="http://schemas.microsoft.com/office/drawing/2014/chart" uri="{C3380CC4-5D6E-409C-BE32-E72D297353CC}">
              <c16:uniqueId val="{00000000-8B09-4990-A520-3B07E2D4F139}"/>
            </c:ext>
          </c:extLst>
        </c:ser>
        <c:ser>
          <c:idx val="1"/>
          <c:order val="1"/>
          <c:tx>
            <c:strRef>
              <c:f>Trends!$AH$6</c:f>
              <c:strCache>
                <c:ptCount val="1"/>
                <c:pt idx="0">
                  <c:v>#11-25</c:v>
                </c:pt>
              </c:strCache>
            </c:strRef>
          </c:tx>
          <c:spPr>
            <a:solidFill>
              <a:schemeClr val="accent2"/>
            </a:solidFill>
            <a:ln>
              <a:noFill/>
            </a:ln>
            <a:effectLst/>
          </c:spPr>
          <c:invertIfNegative val="0"/>
          <c:cat>
            <c:numRef>
              <c:f>Trends!$AI$4:$AT$4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Trends!$AI$6:$AT$6</c:f>
              <c:numCache>
                <c:formatCode>[$€-2]\ #,##0.00</c:formatCode>
                <c:ptCount val="12"/>
                <c:pt idx="0">
                  <c:v>19.424717312999995</c:v>
                </c:pt>
                <c:pt idx="1">
                  <c:v>21.177037591200001</c:v>
                </c:pt>
                <c:pt idx="2">
                  <c:v>23.791064641499997</c:v>
                </c:pt>
                <c:pt idx="3">
                  <c:v>25.768528078639992</c:v>
                </c:pt>
                <c:pt idx="4">
                  <c:v>28.410465629999997</c:v>
                </c:pt>
                <c:pt idx="5">
                  <c:v>30.780608017000002</c:v>
                </c:pt>
                <c:pt idx="6">
                  <c:v>32.592874999999999</c:v>
                </c:pt>
                <c:pt idx="7">
                  <c:v>31.454516999999996</c:v>
                </c:pt>
                <c:pt idx="8">
                  <c:v>37.980000000000004</c:v>
                </c:pt>
                <c:pt idx="9">
                  <c:v>41.328547821428572</c:v>
                </c:pt>
                <c:pt idx="10">
                  <c:v>48.136417302700004</c:v>
                </c:pt>
                <c:pt idx="11">
                  <c:v>49.935050398000008</c:v>
                </c:pt>
              </c:numCache>
            </c:numRef>
          </c:val>
          <c:extLst>
            <c:ext xmlns:c16="http://schemas.microsoft.com/office/drawing/2014/chart" uri="{C3380CC4-5D6E-409C-BE32-E72D297353CC}">
              <c16:uniqueId val="{00000001-8B09-4990-A520-3B07E2D4F139}"/>
            </c:ext>
          </c:extLst>
        </c:ser>
        <c:ser>
          <c:idx val="2"/>
          <c:order val="2"/>
          <c:tx>
            <c:strRef>
              <c:f>Trends!$AH$7</c:f>
              <c:strCache>
                <c:ptCount val="1"/>
                <c:pt idx="0">
                  <c:v>#26-50</c:v>
                </c:pt>
              </c:strCache>
            </c:strRef>
          </c:tx>
          <c:spPr>
            <a:solidFill>
              <a:schemeClr val="accent3"/>
            </a:solidFill>
            <a:ln>
              <a:noFill/>
            </a:ln>
            <a:effectLst/>
          </c:spPr>
          <c:invertIfNegative val="0"/>
          <c:cat>
            <c:numRef>
              <c:f>Trends!$AI$4:$AT$4</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Trends!$AI$7:$AT$7</c:f>
              <c:numCache>
                <c:formatCode>[$€-2]\ #,##0.00</c:formatCode>
                <c:ptCount val="12"/>
                <c:pt idx="0">
                  <c:v>16.256732224</c:v>
                </c:pt>
                <c:pt idx="1">
                  <c:v>17.841699486</c:v>
                </c:pt>
                <c:pt idx="2">
                  <c:v>20.376953340599993</c:v>
                </c:pt>
                <c:pt idx="3">
                  <c:v>21.415799649000004</c:v>
                </c:pt>
                <c:pt idx="4">
                  <c:v>25.535438425999992</c:v>
                </c:pt>
                <c:pt idx="5">
                  <c:v>29.558778800000006</c:v>
                </c:pt>
                <c:pt idx="6">
                  <c:v>31.813786999999998</c:v>
                </c:pt>
                <c:pt idx="7">
                  <c:v>29.642561706000002</c:v>
                </c:pt>
                <c:pt idx="8">
                  <c:v>33.300000000000004</c:v>
                </c:pt>
                <c:pt idx="9">
                  <c:v>37.225148474000001</c:v>
                </c:pt>
                <c:pt idx="10">
                  <c:v>43.195475363000007</c:v>
                </c:pt>
                <c:pt idx="11">
                  <c:v>44.486952191</c:v>
                </c:pt>
              </c:numCache>
            </c:numRef>
          </c:val>
          <c:extLst>
            <c:ext xmlns:c16="http://schemas.microsoft.com/office/drawing/2014/chart" uri="{C3380CC4-5D6E-409C-BE32-E72D297353CC}">
              <c16:uniqueId val="{00000002-8B09-4990-A520-3B07E2D4F139}"/>
            </c:ext>
          </c:extLst>
        </c:ser>
        <c:dLbls>
          <c:showLegendKey val="0"/>
          <c:showVal val="0"/>
          <c:showCatName val="0"/>
          <c:showSerName val="0"/>
          <c:showPercent val="0"/>
          <c:showBubbleSize val="0"/>
        </c:dLbls>
        <c:gapWidth val="150"/>
        <c:overlap val="100"/>
        <c:axId val="157241728"/>
        <c:axId val="157243264"/>
      </c:barChart>
      <c:catAx>
        <c:axId val="15724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243264"/>
        <c:crosses val="autoZero"/>
        <c:auto val="1"/>
        <c:lblAlgn val="ctr"/>
        <c:lblOffset val="100"/>
        <c:noMultiLvlLbl val="0"/>
      </c:catAx>
      <c:valAx>
        <c:axId val="157243264"/>
        <c:scaling>
          <c:orientation val="minMax"/>
        </c:scaling>
        <c:delete val="0"/>
        <c:axPos val="l"/>
        <c:majorGridlines>
          <c:spPr>
            <a:ln w="9525" cap="flat" cmpd="sng" algn="ctr">
              <a:solidFill>
                <a:schemeClr val="tx1">
                  <a:lumMod val="15000"/>
                  <a:lumOff val="85000"/>
                </a:schemeClr>
              </a:solidFill>
              <a:round/>
            </a:ln>
            <a:effectLst/>
          </c:spPr>
        </c:majorGridlines>
        <c:numFmt formatCode="[$€-2]\ #,##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241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Share of Top 50 groups (EU+EFTA+UK)</a:t>
            </a:r>
          </a:p>
        </c:rich>
      </c:tx>
      <c:overlay val="0"/>
      <c:spPr>
        <a:noFill/>
        <a:ln>
          <a:noFill/>
        </a:ln>
        <a:effectLst/>
      </c:spPr>
    </c:title>
    <c:autoTitleDeleted val="0"/>
    <c:plotArea>
      <c:layout/>
      <c:barChart>
        <c:barDir val="col"/>
        <c:grouping val="stacked"/>
        <c:varyColors val="0"/>
        <c:ser>
          <c:idx val="0"/>
          <c:order val="0"/>
          <c:tx>
            <c:strRef>
              <c:f>Trends!$AH$30</c:f>
              <c:strCache>
                <c:ptCount val="1"/>
                <c:pt idx="0">
                  <c:v>Top 10</c:v>
                </c:pt>
              </c:strCache>
            </c:strRef>
          </c:tx>
          <c:spPr>
            <a:solidFill>
              <a:schemeClr val="accent1"/>
            </a:solidFill>
            <a:ln>
              <a:noFill/>
            </a:ln>
            <a:effectLst/>
          </c:spPr>
          <c:invertIfNegative val="0"/>
          <c:cat>
            <c:numRef>
              <c:f>Trends!$AI$29:$AZ$29</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Trends!$AI$30:$AZ$30</c:f>
              <c:numCache>
                <c:formatCode>0.0%</c:formatCode>
                <c:ptCount val="18"/>
                <c:pt idx="0">
                  <c:v>4.125623837318463E-2</c:v>
                </c:pt>
                <c:pt idx="1">
                  <c:v>4.4113029280294994E-2</c:v>
                </c:pt>
                <c:pt idx="2">
                  <c:v>4.6575260416746249E-2</c:v>
                </c:pt>
                <c:pt idx="3">
                  <c:v>4.5444830685151476E-2</c:v>
                </c:pt>
                <c:pt idx="4">
                  <c:v>4.6646078015364988E-2</c:v>
                </c:pt>
                <c:pt idx="5">
                  <c:v>5.0774045140505562E-2</c:v>
                </c:pt>
                <c:pt idx="6">
                  <c:v>5.078304300341431E-2</c:v>
                </c:pt>
                <c:pt idx="7">
                  <c:v>5.009143944757824E-2</c:v>
                </c:pt>
                <c:pt idx="8">
                  <c:v>5.4587793906215043E-2</c:v>
                </c:pt>
                <c:pt idx="9">
                  <c:v>6.1426940878779229E-2</c:v>
                </c:pt>
                <c:pt idx="10">
                  <c:v>6.5348900699351037E-2</c:v>
                </c:pt>
                <c:pt idx="11">
                  <c:v>6.4948404550804764E-2</c:v>
                </c:pt>
                <c:pt idx="12">
                  <c:v>6.9380737826340452E-2</c:v>
                </c:pt>
                <c:pt idx="13">
                  <c:v>7.151097473196652E-2</c:v>
                </c:pt>
                <c:pt idx="14">
                  <c:v>7.3641211637592588E-2</c:v>
                </c:pt>
                <c:pt idx="15">
                  <c:v>7.5771448543218656E-2</c:v>
                </c:pt>
                <c:pt idx="16">
                  <c:v>7.7901685448844724E-2</c:v>
                </c:pt>
                <c:pt idx="17">
                  <c:v>8.0031922354470791E-2</c:v>
                </c:pt>
              </c:numCache>
            </c:numRef>
          </c:val>
          <c:extLst>
            <c:ext xmlns:c16="http://schemas.microsoft.com/office/drawing/2014/chart" uri="{C3380CC4-5D6E-409C-BE32-E72D297353CC}">
              <c16:uniqueId val="{00000000-5385-426D-85E3-4D22EEBABBD4}"/>
            </c:ext>
          </c:extLst>
        </c:ser>
        <c:ser>
          <c:idx val="1"/>
          <c:order val="1"/>
          <c:tx>
            <c:strRef>
              <c:f>Trends!$AH$31</c:f>
              <c:strCache>
                <c:ptCount val="1"/>
                <c:pt idx="0">
                  <c:v>#11-25</c:v>
                </c:pt>
              </c:strCache>
            </c:strRef>
          </c:tx>
          <c:spPr>
            <a:solidFill>
              <a:schemeClr val="accent2"/>
            </a:solidFill>
            <a:ln>
              <a:noFill/>
            </a:ln>
            <a:effectLst/>
          </c:spPr>
          <c:invertIfNegative val="0"/>
          <c:cat>
            <c:numRef>
              <c:f>Trends!$AI$29:$AZ$29</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Trends!$AI$31:$AZ$31</c:f>
              <c:numCache>
                <c:formatCode>0.0%</c:formatCode>
                <c:ptCount val="18"/>
                <c:pt idx="0">
                  <c:v>2.9311185615868283E-2</c:v>
                </c:pt>
                <c:pt idx="1">
                  <c:v>3.1148467259776796E-2</c:v>
                </c:pt>
                <c:pt idx="2">
                  <c:v>2.9593219064825253E-2</c:v>
                </c:pt>
                <c:pt idx="3">
                  <c:v>3.1662829483091327E-2</c:v>
                </c:pt>
                <c:pt idx="4">
                  <c:v>2.9058028801298506E-2</c:v>
                </c:pt>
                <c:pt idx="5">
                  <c:v>3.2225954859494442E-2</c:v>
                </c:pt>
                <c:pt idx="6">
                  <c:v>3.3297799621445634E-2</c:v>
                </c:pt>
                <c:pt idx="7">
                  <c:v>3.8180695734865489E-2</c:v>
                </c:pt>
                <c:pt idx="8">
                  <c:v>3.9001377891327557E-2</c:v>
                </c:pt>
                <c:pt idx="9">
                  <c:v>4.4733666641847913E-2</c:v>
                </c:pt>
                <c:pt idx="10">
                  <c:v>4.1969826282598266E-2</c:v>
                </c:pt>
                <c:pt idx="11">
                  <c:v>4.7010795596224078E-2</c:v>
                </c:pt>
                <c:pt idx="12">
                  <c:v>4.6057619613617019E-2</c:v>
                </c:pt>
                <c:pt idx="13">
                  <c:v>4.7681015346771036E-2</c:v>
                </c:pt>
                <c:pt idx="14">
                  <c:v>4.9304411079925045E-2</c:v>
                </c:pt>
                <c:pt idx="15">
                  <c:v>5.0927806813079055E-2</c:v>
                </c:pt>
                <c:pt idx="16">
                  <c:v>5.2551202546233064E-2</c:v>
                </c:pt>
                <c:pt idx="17">
                  <c:v>5.4174598279387073E-2</c:v>
                </c:pt>
              </c:numCache>
            </c:numRef>
          </c:val>
          <c:extLst>
            <c:ext xmlns:c16="http://schemas.microsoft.com/office/drawing/2014/chart" uri="{C3380CC4-5D6E-409C-BE32-E72D297353CC}">
              <c16:uniqueId val="{00000001-5385-426D-85E3-4D22EEBABBD4}"/>
            </c:ext>
          </c:extLst>
        </c:ser>
        <c:ser>
          <c:idx val="2"/>
          <c:order val="2"/>
          <c:tx>
            <c:strRef>
              <c:f>Trends!$AH$32</c:f>
              <c:strCache>
                <c:ptCount val="1"/>
                <c:pt idx="0">
                  <c:v>#26-50</c:v>
                </c:pt>
              </c:strCache>
            </c:strRef>
          </c:tx>
          <c:spPr>
            <a:solidFill>
              <a:schemeClr val="accent3"/>
            </a:solidFill>
            <a:ln>
              <a:noFill/>
            </a:ln>
            <a:effectLst/>
          </c:spPr>
          <c:invertIfNegative val="0"/>
          <c:cat>
            <c:numRef>
              <c:f>Trends!$AI$29:$AZ$29</c:f>
              <c:numCache>
                <c:formatCode>General</c:formatCode>
                <c:ptCount val="1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numCache>
            </c:numRef>
          </c:cat>
          <c:val>
            <c:numRef>
              <c:f>Trends!$AI$32:$AZ$32</c:f>
              <c:numCache>
                <c:formatCode>0.0%</c:formatCode>
                <c:ptCount val="18"/>
                <c:pt idx="0">
                  <c:v>2.8985372832622851E-2</c:v>
                </c:pt>
                <c:pt idx="1">
                  <c:v>2.5490208429297261E-2</c:v>
                </c:pt>
                <c:pt idx="2">
                  <c:v>2.8093074367633544E-2</c:v>
                </c:pt>
                <c:pt idx="3">
                  <c:v>2.4886693855579428E-2</c:v>
                </c:pt>
                <c:pt idx="4">
                  <c:v>3.0645920824246643E-2</c:v>
                </c:pt>
                <c:pt idx="5">
                  <c:v>3.3337722904656808E-2</c:v>
                </c:pt>
                <c:pt idx="6">
                  <c:v>3.6344880755157266E-2</c:v>
                </c:pt>
                <c:pt idx="7">
                  <c:v>4.2484807535615669E-2</c:v>
                </c:pt>
                <c:pt idx="8">
                  <c:v>4.4716848319385806E-2</c:v>
                </c:pt>
                <c:pt idx="9">
                  <c:v>4.6228851261170045E-2</c:v>
                </c:pt>
                <c:pt idx="10">
                  <c:v>4.1730969921963339E-2</c:v>
                </c:pt>
                <c:pt idx="11">
                  <c:v>4.1978200027642562E-2</c:v>
                </c:pt>
                <c:pt idx="12">
                  <c:v>5.1970442617494103E-2</c:v>
                </c:pt>
                <c:pt idx="13">
                  <c:v>5.4451633501373324E-2</c:v>
                </c:pt>
                <c:pt idx="14">
                  <c:v>5.6932824385252545E-2</c:v>
                </c:pt>
                <c:pt idx="15">
                  <c:v>5.9414015269131759E-2</c:v>
                </c:pt>
                <c:pt idx="16">
                  <c:v>6.189520615301098E-2</c:v>
                </c:pt>
                <c:pt idx="17">
                  <c:v>6.4376397036890201E-2</c:v>
                </c:pt>
              </c:numCache>
            </c:numRef>
          </c:val>
          <c:extLst>
            <c:ext xmlns:c16="http://schemas.microsoft.com/office/drawing/2014/chart" uri="{C3380CC4-5D6E-409C-BE32-E72D297353CC}">
              <c16:uniqueId val="{00000002-5385-426D-85E3-4D22EEBABBD4}"/>
            </c:ext>
          </c:extLst>
        </c:ser>
        <c:dLbls>
          <c:showLegendKey val="0"/>
          <c:showVal val="0"/>
          <c:showCatName val="0"/>
          <c:showSerName val="0"/>
          <c:showPercent val="0"/>
          <c:showBubbleSize val="0"/>
        </c:dLbls>
        <c:gapWidth val="150"/>
        <c:overlap val="100"/>
        <c:axId val="157435008"/>
        <c:axId val="157436544"/>
      </c:barChart>
      <c:catAx>
        <c:axId val="15743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436544"/>
        <c:crosses val="autoZero"/>
        <c:auto val="1"/>
        <c:lblAlgn val="ctr"/>
        <c:lblOffset val="100"/>
        <c:noMultiLvlLbl val="0"/>
      </c:catAx>
      <c:valAx>
        <c:axId val="157436544"/>
        <c:scaling>
          <c:orientation val="minMax"/>
          <c:max val="0.24000000000000021"/>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435008"/>
        <c:crosses val="autoZero"/>
        <c:crossBetween val="between"/>
        <c:majorUnit val="4.0000000000000022E-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34</xdr:col>
      <xdr:colOff>280987</xdr:colOff>
      <xdr:row>9</xdr:row>
      <xdr:rowOff>33337</xdr:rowOff>
    </xdr:from>
    <xdr:to>
      <xdr:col>40</xdr:col>
      <xdr:colOff>361950</xdr:colOff>
      <xdr:row>25</xdr:row>
      <xdr:rowOff>109537</xdr:rowOff>
    </xdr:to>
    <xdr:graphicFrame macro="">
      <xdr:nvGraphicFramePr>
        <xdr:cNvPr id="2" name="Chart 1">
          <a:extLst>
            <a:ext uri="{FF2B5EF4-FFF2-40B4-BE49-F238E27FC236}">
              <a16:creationId xmlns:a16="http://schemas.microsoft.com/office/drawing/2014/main" id="{33644BC3-BC53-40B7-B15F-33BC31137B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34</xdr:col>
      <xdr:colOff>1</xdr:colOff>
      <xdr:row>35</xdr:row>
      <xdr:rowOff>28575</xdr:rowOff>
    </xdr:from>
    <xdr:to>
      <xdr:col>45</xdr:col>
      <xdr:colOff>0</xdr:colOff>
      <xdr:row>53</xdr:row>
      <xdr:rowOff>47625</xdr:rowOff>
    </xdr:to>
    <xdr:graphicFrame macro="">
      <xdr:nvGraphicFramePr>
        <xdr:cNvPr id="4" name="Chart 3">
          <a:extLst>
            <a:ext uri="{FF2B5EF4-FFF2-40B4-BE49-F238E27FC236}">
              <a16:creationId xmlns:a16="http://schemas.microsoft.com/office/drawing/2014/main" id="{AF29BAEE-48BF-4C9D-9404-2304ED0A99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41</xdr:col>
      <xdr:colOff>524564</xdr:colOff>
      <xdr:row>51</xdr:row>
      <xdr:rowOff>41412</xdr:rowOff>
    </xdr:from>
    <xdr:to>
      <xdr:col>44</xdr:col>
      <xdr:colOff>897282</xdr:colOff>
      <xdr:row>52</xdr:row>
      <xdr:rowOff>41413</xdr:rowOff>
    </xdr:to>
    <xdr:sp macro="" textlink="">
      <xdr:nvSpPr>
        <xdr:cNvPr id="5" name="TextBox 4">
          <a:extLst>
            <a:ext uri="{FF2B5EF4-FFF2-40B4-BE49-F238E27FC236}">
              <a16:creationId xmlns:a16="http://schemas.microsoft.com/office/drawing/2014/main" id="{2175713C-E523-45AE-9966-08B7EFAB78DA}"/>
            </a:ext>
          </a:extLst>
        </xdr:cNvPr>
        <xdr:cNvSpPr txBox="1"/>
      </xdr:nvSpPr>
      <xdr:spPr>
        <a:xfrm>
          <a:off x="36664347" y="9766575"/>
          <a:ext cx="2981739" cy="186360"/>
        </a:xfrm>
        <a:prstGeom prst="rect">
          <a:avLst/>
        </a:prstGeom>
        <a:solidFill>
          <a:schemeClr val="accent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t>&lt;&lt; Projection &gt;&gt;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alphartis.com/" TargetMode="External"/><Relationship Id="rId7" Type="http://schemas.openxmlformats.org/officeDocument/2006/relationships/printerSettings" Target="../printerSettings/printerSettings2.bin"/><Relationship Id="rId2" Type="http://schemas.openxmlformats.org/officeDocument/2006/relationships/hyperlink" Target="https://www.automobilwoche.de/autohandel/top-100-autohandler-die-grossen-autohausgruppen-wachsen-weiter" TargetMode="External"/><Relationship Id="rId1" Type="http://schemas.openxmlformats.org/officeDocument/2006/relationships/hyperlink" Target="https://automotive-online.nl/management/laatste-nieuws/merkkanaal/29448-van-mossel-realiseert-recordwinst-in-2020?utm_medium=email&amp;utm_source=transactional&amp;utm_campaign=newsletter_1828" TargetMode="External"/><Relationship Id="rId6" Type="http://schemas.openxmlformats.org/officeDocument/2006/relationships/hyperlink" Target="https://www.automobilwoche.de/autohandel/top-100-autohandler-die-grossen-autohausgruppen-wachsen-weiter" TargetMode="External"/><Relationship Id="rId5" Type="http://schemas.openxmlformats.org/officeDocument/2006/relationships/hyperlink" Target="https://www.automobilwoche.de/autohandel/top-100-autohandler-die-grossen-autohausgruppen-wachsen-weiter" TargetMode="External"/><Relationship Id="rId4" Type="http://schemas.openxmlformats.org/officeDocument/2006/relationships/hyperlink" Target="https://www.gottfried-schultz.de/;%202022%20revenue%20from%20wikipedia"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jobsfrance.renaultretailgroup.com/" TargetMode="External"/><Relationship Id="rId1" Type="http://schemas.openxmlformats.org/officeDocument/2006/relationships/hyperlink" Target="https://jobsfrance.renaultretailgroup.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76"/>
  <sheetViews>
    <sheetView zoomScale="78" zoomScaleNormal="78" workbookViewId="0">
      <pane xSplit="4344" ySplit="636" topLeftCell="E1" activePane="bottomRight"/>
      <selection pane="topRight" activeCell="V1" sqref="V1"/>
      <selection pane="bottomLeft" activeCell="A38" sqref="A38:XFD38"/>
      <selection pane="bottomRight" activeCell="AF68" sqref="AF68"/>
    </sheetView>
  </sheetViews>
  <sheetFormatPr defaultColWidth="11.44140625" defaultRowHeight="14.4" x14ac:dyDescent="0.3"/>
  <cols>
    <col min="1" max="1" width="49" style="3" bestFit="1" customWidth="1"/>
    <col min="4" max="4" width="12.44140625" bestFit="1" customWidth="1"/>
    <col min="5" max="13" width="12.44140625" customWidth="1"/>
    <col min="44" max="44" width="14.44140625" customWidth="1"/>
    <col min="45" max="45" width="12.77734375" bestFit="1" customWidth="1"/>
  </cols>
  <sheetData>
    <row r="1" spans="1:46" s="15" customFormat="1" ht="30" customHeight="1" thickBot="1" x14ac:dyDescent="0.35">
      <c r="A1" s="12"/>
      <c r="B1" s="13">
        <v>2013</v>
      </c>
      <c r="C1" s="14">
        <v>2014</v>
      </c>
      <c r="D1" s="32">
        <v>2015</v>
      </c>
      <c r="E1" s="14">
        <v>2016</v>
      </c>
      <c r="F1" s="14">
        <v>2017</v>
      </c>
      <c r="G1" s="42">
        <v>2018</v>
      </c>
      <c r="H1" s="14">
        <v>2019</v>
      </c>
      <c r="I1" s="133">
        <v>2020</v>
      </c>
      <c r="J1" s="91">
        <v>2021</v>
      </c>
      <c r="K1" s="119">
        <v>2022</v>
      </c>
      <c r="L1" s="188">
        <v>2023</v>
      </c>
      <c r="M1" s="118">
        <v>2024</v>
      </c>
      <c r="N1" s="134" t="s">
        <v>0</v>
      </c>
      <c r="O1" s="53" t="s">
        <v>1</v>
      </c>
      <c r="P1" s="53" t="s">
        <v>2</v>
      </c>
      <c r="Q1" s="53" t="s">
        <v>3</v>
      </c>
      <c r="R1" s="53" t="s">
        <v>4</v>
      </c>
      <c r="S1" s="53" t="s">
        <v>5</v>
      </c>
      <c r="T1" s="53" t="s">
        <v>6</v>
      </c>
      <c r="U1" s="53" t="s">
        <v>7</v>
      </c>
      <c r="V1" s="53" t="s">
        <v>315</v>
      </c>
      <c r="W1" s="209" t="s">
        <v>390</v>
      </c>
      <c r="X1" s="55" t="s">
        <v>511</v>
      </c>
      <c r="Y1" s="53" t="s">
        <v>8</v>
      </c>
      <c r="Z1" s="53" t="s">
        <v>9</v>
      </c>
      <c r="AA1" s="54" t="s">
        <v>10</v>
      </c>
      <c r="AB1" s="54" t="s">
        <v>11</v>
      </c>
      <c r="AC1" s="54" t="s">
        <v>12</v>
      </c>
      <c r="AD1" s="54" t="s">
        <v>13</v>
      </c>
      <c r="AE1" s="54" t="s">
        <v>316</v>
      </c>
      <c r="AF1" s="37" t="s">
        <v>393</v>
      </c>
      <c r="AG1" s="51" t="s">
        <v>512</v>
      </c>
      <c r="AH1" s="37" t="s">
        <v>14</v>
      </c>
    </row>
    <row r="2" spans="1:46" s="1" customFormat="1" x14ac:dyDescent="0.3">
      <c r="A2" s="30" t="s">
        <v>15</v>
      </c>
      <c r="B2" s="16"/>
      <c r="E2" s="50"/>
      <c r="F2" s="50"/>
      <c r="H2" s="2"/>
      <c r="I2" s="2"/>
      <c r="J2" s="86"/>
      <c r="K2" s="45"/>
      <c r="L2" s="86"/>
      <c r="M2" s="125"/>
      <c r="N2" s="31"/>
      <c r="O2" s="2"/>
      <c r="P2" s="2"/>
      <c r="Q2" s="2"/>
      <c r="R2" s="2"/>
      <c r="S2" s="2"/>
      <c r="T2" s="2"/>
      <c r="U2" s="86"/>
      <c r="V2" s="45"/>
      <c r="W2" s="210"/>
      <c r="X2" s="187"/>
      <c r="Y2" s="31"/>
      <c r="Z2" s="2"/>
      <c r="AA2" s="2"/>
      <c r="AB2" s="2"/>
      <c r="AC2" s="2"/>
      <c r="AD2" s="86"/>
      <c r="AE2" s="45"/>
      <c r="AF2" s="86"/>
      <c r="AG2" s="39"/>
    </row>
    <row r="3" spans="1:46" s="1" customFormat="1" x14ac:dyDescent="0.3">
      <c r="A3" s="17" t="s">
        <v>16</v>
      </c>
      <c r="B3" s="18">
        <v>150.19999999999999</v>
      </c>
      <c r="C3" s="19">
        <v>159.69999999999999</v>
      </c>
      <c r="D3" s="19">
        <v>165.1</v>
      </c>
      <c r="E3" s="35">
        <v>169.7</v>
      </c>
      <c r="F3" s="35">
        <v>196.3</v>
      </c>
      <c r="G3" s="35">
        <v>211.5</v>
      </c>
      <c r="H3" s="19">
        <v>202.7</v>
      </c>
      <c r="I3" s="78">
        <v>193</v>
      </c>
      <c r="J3" s="33">
        <v>222</v>
      </c>
      <c r="K3" s="64">
        <v>256.36363636363637</v>
      </c>
      <c r="L3" s="33">
        <v>299.7</v>
      </c>
      <c r="M3" s="74">
        <f>'Independent Groups'!I54</f>
        <v>327.8</v>
      </c>
      <c r="N3" s="98">
        <v>6.3249001331557933E-2</v>
      </c>
      <c r="O3" s="94">
        <v>3.3813400125234851E-2</v>
      </c>
      <c r="P3" s="94">
        <v>2.7861901877649874E-2</v>
      </c>
      <c r="Q3" s="95">
        <f>SUM(F3-E3)/E3</f>
        <v>0.15674720094284045</v>
      </c>
      <c r="R3" s="95">
        <f>SUM(G3-F3)/F3</f>
        <v>7.7432501273560814E-2</v>
      </c>
      <c r="S3" s="95">
        <f>SUM(H3-G3)/G3</f>
        <v>-4.1607565011820384E-2</v>
      </c>
      <c r="T3" s="95">
        <f>SUM(I3-H3)/H3</f>
        <v>-4.7853971386285096E-2</v>
      </c>
      <c r="U3" s="99">
        <f>SUM(J3-I3)/I3</f>
        <v>0.15025906735751296</v>
      </c>
      <c r="V3" s="122">
        <v>0.15479115479115485</v>
      </c>
      <c r="W3" s="211">
        <f>SUM(L3-K3)/K3</f>
        <v>0.16904255319148928</v>
      </c>
      <c r="X3" s="102">
        <f>SUM(M3-L3)/L3</f>
        <v>9.3760427093760507E-2</v>
      </c>
      <c r="Y3" s="100">
        <v>0.12982689747003995</v>
      </c>
      <c r="Z3" s="96">
        <f>SUM(F3-B3)/B3</f>
        <v>0.3069241011984023</v>
      </c>
      <c r="AA3" s="96">
        <f>SUM(G3-B3)/B3</f>
        <v>0.40812250332889494</v>
      </c>
      <c r="AB3" s="96">
        <f>SUM(H3-B3)/B3</f>
        <v>0.34953395472703064</v>
      </c>
      <c r="AC3" s="96">
        <f>SUM(I3-B3)/B3</f>
        <v>0.28495339547270315</v>
      </c>
      <c r="AD3" s="103">
        <f>SUM(J3-B3)/B3</f>
        <v>0.47802929427430102</v>
      </c>
      <c r="AE3" s="124">
        <v>0.70681515555017571</v>
      </c>
      <c r="AF3" s="103">
        <f>SUM(L3-B3)/B3</f>
        <v>0.99533954727030638</v>
      </c>
      <c r="AG3" s="41">
        <f t="shared" ref="AG3:AG7" si="0">SUM(M3-B3)/B3</f>
        <v>1.1824234354194409</v>
      </c>
    </row>
    <row r="4" spans="1:46" s="1" customFormat="1" x14ac:dyDescent="0.3">
      <c r="A4" s="17" t="s">
        <v>17</v>
      </c>
      <c r="B4" s="18">
        <v>15.8</v>
      </c>
      <c r="C4" s="19">
        <v>17.399999999999999</v>
      </c>
      <c r="D4" s="19">
        <v>18.7</v>
      </c>
      <c r="E4" s="35">
        <v>18.899999999999999</v>
      </c>
      <c r="F4" s="35">
        <v>19</v>
      </c>
      <c r="G4" s="35">
        <v>20.2</v>
      </c>
      <c r="H4" s="19">
        <v>20.2</v>
      </c>
      <c r="I4" s="78">
        <v>19.5</v>
      </c>
      <c r="J4" s="33">
        <v>24</v>
      </c>
      <c r="K4" s="64">
        <v>26.09090909090909</v>
      </c>
      <c r="L4" s="33">
        <v>28.8</v>
      </c>
      <c r="M4" s="74">
        <f>'Independent Groups'!H54</f>
        <v>32</v>
      </c>
      <c r="N4" s="98">
        <v>0.10126582278480999</v>
      </c>
      <c r="O4" s="94">
        <v>7.4712643678160967E-2</v>
      </c>
      <c r="P4" s="94">
        <v>1.0695187165775364E-2</v>
      </c>
      <c r="Q4" s="95">
        <f>SUM(F4-E4)/E4</f>
        <v>5.2910052910053662E-3</v>
      </c>
      <c r="R4" s="95">
        <f t="shared" ref="R4:R55" si="1">SUM(G4-F4)/F4</f>
        <v>6.3157894736842066E-2</v>
      </c>
      <c r="S4" s="95">
        <f t="shared" ref="S4:S7" si="2">SUM(H4-G4)/G4</f>
        <v>0</v>
      </c>
      <c r="T4" s="95">
        <f t="shared" ref="T4:U7" si="3">SUM(I4-H4)/H4</f>
        <v>-3.4653465346534622E-2</v>
      </c>
      <c r="U4" s="99">
        <f>SUM(J4-I4)/I4</f>
        <v>0.23076923076923078</v>
      </c>
      <c r="V4" s="122">
        <v>8.7121212121212085E-2</v>
      </c>
      <c r="W4" s="211">
        <f t="shared" ref="W4:W7" si="4">SUM(L4-K4)/K4</f>
        <v>0.10383275261324049</v>
      </c>
      <c r="X4" s="102">
        <f t="shared" ref="X4:X7" si="5">SUM(M4-L4)/L4</f>
        <v>0.11111111111111108</v>
      </c>
      <c r="Y4" s="100">
        <v>0.19620253164556947</v>
      </c>
      <c r="Z4" s="96">
        <f>SUM(F4-B4)/B4</f>
        <v>0.20253164556962019</v>
      </c>
      <c r="AA4" s="96">
        <f>SUM(G4-B4)/B4</f>
        <v>0.27848101265822772</v>
      </c>
      <c r="AB4" s="96">
        <f t="shared" ref="AB4:AB7" si="6">SUM(H4-B4)/B4</f>
        <v>0.27848101265822772</v>
      </c>
      <c r="AC4" s="96">
        <f>SUM(I4-B4)/B4</f>
        <v>0.23417721518987336</v>
      </c>
      <c r="AD4" s="103">
        <f t="shared" ref="AD4:AD7" si="7">SUM(J4-B4)/B4</f>
        <v>0.51898734177215178</v>
      </c>
      <c r="AE4" s="124">
        <v>0.65132336018411952</v>
      </c>
      <c r="AF4" s="103">
        <f t="shared" ref="AF4:AF7" si="8">SUM(L4-B4)/B4</f>
        <v>0.82278481012658222</v>
      </c>
      <c r="AG4" s="41">
        <f t="shared" si="0"/>
        <v>1.0253164556962024</v>
      </c>
      <c r="AI4" s="1">
        <v>2013</v>
      </c>
      <c r="AJ4" s="1">
        <v>2014</v>
      </c>
      <c r="AK4" s="1">
        <v>2015</v>
      </c>
      <c r="AL4" s="1">
        <v>2016</v>
      </c>
      <c r="AM4" s="1">
        <v>2017</v>
      </c>
      <c r="AN4" s="1">
        <v>2018</v>
      </c>
      <c r="AO4" s="1">
        <v>2019</v>
      </c>
      <c r="AP4" s="1">
        <v>2020</v>
      </c>
      <c r="AQ4" s="1">
        <v>2021</v>
      </c>
      <c r="AR4" s="1">
        <v>2022</v>
      </c>
      <c r="AS4" s="1">
        <v>2023</v>
      </c>
      <c r="AT4" s="1">
        <v>2024</v>
      </c>
    </row>
    <row r="5" spans="1:46" s="1" customFormat="1" x14ac:dyDescent="0.3">
      <c r="A5" s="17" t="s">
        <v>18</v>
      </c>
      <c r="B5" s="20">
        <v>3.4482661709399998</v>
      </c>
      <c r="C5" s="21">
        <v>3.8977317479999996</v>
      </c>
      <c r="D5" s="21">
        <v>4.5157651953300011</v>
      </c>
      <c r="E5" s="36">
        <v>4.5201681694999998</v>
      </c>
      <c r="F5" s="36">
        <v>5.2562423836400001</v>
      </c>
      <c r="G5" s="36">
        <v>5.5381642937120645</v>
      </c>
      <c r="H5" s="21">
        <v>5.8432721000000001</v>
      </c>
      <c r="I5" s="79">
        <v>4.9532929499999998</v>
      </c>
      <c r="J5" s="34">
        <v>5.8010000000000002</v>
      </c>
      <c r="K5" s="65">
        <v>6.2609619380000003</v>
      </c>
      <c r="L5" s="34">
        <v>7.2577828007999994</v>
      </c>
      <c r="M5" s="75">
        <f>'Independent Groups'!N54</f>
        <v>7.622508226059999</v>
      </c>
      <c r="N5" s="98">
        <v>0.13034538367363768</v>
      </c>
      <c r="O5" s="94">
        <v>0.15856233504194492</v>
      </c>
      <c r="P5" s="94">
        <v>9.7502283213308821E-4</v>
      </c>
      <c r="Q5" s="95">
        <f>SUM(F5-E5)/E5</f>
        <v>0.16284221881537239</v>
      </c>
      <c r="R5" s="95">
        <f t="shared" si="1"/>
        <v>5.3635637304235338E-2</v>
      </c>
      <c r="S5" s="95">
        <f t="shared" si="2"/>
        <v>5.5091866204538147E-2</v>
      </c>
      <c r="T5" s="95">
        <f t="shared" si="3"/>
        <v>-0.15230835305444707</v>
      </c>
      <c r="U5" s="99">
        <f t="shared" si="3"/>
        <v>0.17114009984004688</v>
      </c>
      <c r="V5" s="122">
        <v>7.9290111704878499E-2</v>
      </c>
      <c r="W5" s="211">
        <f t="shared" si="4"/>
        <v>0.15921209435085995</v>
      </c>
      <c r="X5" s="102">
        <f t="shared" si="5"/>
        <v>5.0253009117301947E-2</v>
      </c>
      <c r="Y5" s="100">
        <v>0.31085245321065186</v>
      </c>
      <c r="Z5" s="96">
        <f>SUM(F5-B5)/B5</f>
        <v>0.52431457523104852</v>
      </c>
      <c r="AA5" s="96">
        <f>SUM(G5-B5)/B5</f>
        <v>0.60607215892570065</v>
      </c>
      <c r="AB5" s="96">
        <f t="shared" si="6"/>
        <v>0.69455367142006907</v>
      </c>
      <c r="AC5" s="96">
        <f>SUM(I5-B5)/B5</f>
        <v>0.43645899256371173</v>
      </c>
      <c r="AD5" s="103">
        <f t="shared" si="7"/>
        <v>0.68229472796719848</v>
      </c>
      <c r="AE5" s="124">
        <v>0.81568406486824585</v>
      </c>
      <c r="AF5" s="103">
        <f t="shared" si="8"/>
        <v>1.1047629275154021</v>
      </c>
      <c r="AG5" s="41">
        <f t="shared" si="0"/>
        <v>1.2105335981015926</v>
      </c>
      <c r="AH5" s="46" t="s">
        <v>19</v>
      </c>
      <c r="AI5" s="48">
        <f t="shared" ref="AI5:AQ5" si="9">B5*10</f>
        <v>34.482661709399999</v>
      </c>
      <c r="AJ5" s="48">
        <f t="shared" si="9"/>
        <v>38.977317479999996</v>
      </c>
      <c r="AK5" s="48">
        <f t="shared" si="9"/>
        <v>45.157651953300011</v>
      </c>
      <c r="AL5" s="48">
        <f t="shared" si="9"/>
        <v>45.201681694999998</v>
      </c>
      <c r="AM5" s="48">
        <f t="shared" si="9"/>
        <v>52.562423836400001</v>
      </c>
      <c r="AN5" s="48">
        <f t="shared" si="9"/>
        <v>55.381642937120645</v>
      </c>
      <c r="AO5" s="48">
        <f t="shared" si="9"/>
        <v>58.432721000000001</v>
      </c>
      <c r="AP5" s="48">
        <f t="shared" si="9"/>
        <v>49.532929499999995</v>
      </c>
      <c r="AQ5" s="48">
        <f t="shared" si="9"/>
        <v>58.010000000000005</v>
      </c>
      <c r="AR5" s="48">
        <v>62.609619380000005</v>
      </c>
      <c r="AS5" s="48">
        <f t="shared" ref="AS5:AT5" si="10">L5*10</f>
        <v>72.577828007999997</v>
      </c>
      <c r="AT5" s="48">
        <f t="shared" si="10"/>
        <v>76.22508226059999</v>
      </c>
    </row>
    <row r="6" spans="1:46" s="1" customFormat="1" x14ac:dyDescent="0.3">
      <c r="A6" s="71" t="s">
        <v>20</v>
      </c>
      <c r="B6" s="18">
        <v>58273.1</v>
      </c>
      <c r="C6" s="19">
        <v>65830.5</v>
      </c>
      <c r="D6" s="19">
        <v>76205.3</v>
      </c>
      <c r="E6" s="35">
        <v>79694.613599999997</v>
      </c>
      <c r="F6" s="35">
        <v>84513.745800000004</v>
      </c>
      <c r="G6" s="35">
        <v>92420.1</v>
      </c>
      <c r="H6" s="19">
        <v>93266.4</v>
      </c>
      <c r="I6" s="78">
        <v>70563.399999999994</v>
      </c>
      <c r="J6" s="33">
        <v>76619</v>
      </c>
      <c r="K6" s="64">
        <v>81098.2</v>
      </c>
      <c r="L6" s="33">
        <v>98762.8</v>
      </c>
      <c r="M6" s="74">
        <f>'Independent Groups'!P54</f>
        <v>100045.1</v>
      </c>
      <c r="N6" s="98">
        <v>0.1296893420806513</v>
      </c>
      <c r="O6" s="94">
        <v>0.15759868146224018</v>
      </c>
      <c r="P6" s="94">
        <v>4.5788332307595325E-2</v>
      </c>
      <c r="Q6" s="95">
        <f>SUM(F6-E6)/E6</f>
        <v>6.0469986393158287E-2</v>
      </c>
      <c r="R6" s="95">
        <f t="shared" si="1"/>
        <v>9.3551103730631247E-2</v>
      </c>
      <c r="S6" s="95">
        <f t="shared" si="2"/>
        <v>9.1570989427623237E-3</v>
      </c>
      <c r="T6" s="95">
        <f t="shared" si="3"/>
        <v>-0.24342099620013211</v>
      </c>
      <c r="U6" s="99">
        <f>SUM(J6-I6)/I6</f>
        <v>8.5817860250498229E-2</v>
      </c>
      <c r="V6" s="122">
        <v>5.8460695127840315E-2</v>
      </c>
      <c r="W6" s="211">
        <f t="shared" si="4"/>
        <v>0.21781741148385544</v>
      </c>
      <c r="X6" s="102">
        <f t="shared" si="5"/>
        <v>1.2983633513833174E-2</v>
      </c>
      <c r="Y6" s="100">
        <v>0.36760552639210886</v>
      </c>
      <c r="Z6" s="96">
        <f>SUM(F6-B6)/B6</f>
        <v>0.45030461396424776</v>
      </c>
      <c r="AA6" s="96">
        <f>SUM(G6-B6)/B6</f>
        <v>0.58598221134623019</v>
      </c>
      <c r="AB6" s="96">
        <f t="shared" si="6"/>
        <v>0.60050520737698865</v>
      </c>
      <c r="AC6" s="96">
        <f>SUM(I6-B6)/B6</f>
        <v>0.21090863537378304</v>
      </c>
      <c r="AD6" s="103">
        <f t="shared" si="7"/>
        <v>0.31482622342041183</v>
      </c>
      <c r="AE6" s="124">
        <v>0.3916918784138822</v>
      </c>
      <c r="AF6" s="103">
        <f t="shared" si="8"/>
        <v>0.69482660095309856</v>
      </c>
      <c r="AG6" s="41">
        <f t="shared" si="0"/>
        <v>0.7168316084093691</v>
      </c>
      <c r="AH6" s="47" t="s">
        <v>21</v>
      </c>
      <c r="AI6" s="48">
        <f t="shared" ref="AI6:AQ6" si="11">15*B13</f>
        <v>19.424717312999995</v>
      </c>
      <c r="AJ6" s="48">
        <f t="shared" si="11"/>
        <v>21.177037591200001</v>
      </c>
      <c r="AK6" s="48">
        <f t="shared" si="11"/>
        <v>23.791064641499997</v>
      </c>
      <c r="AL6" s="48">
        <f t="shared" si="11"/>
        <v>25.768528078639992</v>
      </c>
      <c r="AM6" s="48">
        <f t="shared" si="11"/>
        <v>28.410465629999997</v>
      </c>
      <c r="AN6" s="48">
        <f t="shared" si="11"/>
        <v>30.780608017000002</v>
      </c>
      <c r="AO6" s="48">
        <f t="shared" si="11"/>
        <v>32.592874999999999</v>
      </c>
      <c r="AP6" s="48">
        <f t="shared" si="11"/>
        <v>31.454516999999996</v>
      </c>
      <c r="AQ6" s="48">
        <f t="shared" si="11"/>
        <v>37.980000000000004</v>
      </c>
      <c r="AR6" s="48">
        <v>41.328547821428572</v>
      </c>
      <c r="AS6" s="48">
        <f t="shared" ref="AS6:AT6" si="12">15*L13</f>
        <v>48.136417302700004</v>
      </c>
      <c r="AT6" s="48">
        <f t="shared" si="12"/>
        <v>49.935050398000008</v>
      </c>
    </row>
    <row r="7" spans="1:46" s="1" customFormat="1" x14ac:dyDescent="0.3">
      <c r="A7" s="71" t="s">
        <v>22</v>
      </c>
      <c r="B7" s="18">
        <v>62347.4</v>
      </c>
      <c r="C7" s="19">
        <v>69002.3</v>
      </c>
      <c r="D7" s="19">
        <v>78763.5</v>
      </c>
      <c r="E7" s="35">
        <v>84658.308600000004</v>
      </c>
      <c r="F7" s="35">
        <v>103698.7836</v>
      </c>
      <c r="G7" s="35">
        <v>111825.60000000001</v>
      </c>
      <c r="H7" s="19">
        <v>114668.5</v>
      </c>
      <c r="I7" s="78">
        <v>86989</v>
      </c>
      <c r="J7" s="33">
        <v>103438</v>
      </c>
      <c r="K7" s="64">
        <v>92612</v>
      </c>
      <c r="L7" s="33">
        <v>94183</v>
      </c>
      <c r="M7" s="74">
        <f>'Independent Groups'!Q54</f>
        <v>101529.60000000001</v>
      </c>
      <c r="N7" s="98">
        <v>0.1067390139765251</v>
      </c>
      <c r="O7" s="94">
        <v>0.141461951268291</v>
      </c>
      <c r="P7" s="94">
        <v>7.4841882343979177E-2</v>
      </c>
      <c r="Q7" s="95">
        <f>SUM(F7-E7)/E7</f>
        <v>0.22490970248370862</v>
      </c>
      <c r="R7" s="95">
        <f t="shared" si="1"/>
        <v>7.8369447720310681E-2</v>
      </c>
      <c r="S7" s="95">
        <f t="shared" si="2"/>
        <v>2.5422622369117572E-2</v>
      </c>
      <c r="T7" s="95">
        <f t="shared" si="3"/>
        <v>-0.24138712898485634</v>
      </c>
      <c r="U7" s="99">
        <f>SUM(J7-I7)/I7</f>
        <v>0.18909287381163137</v>
      </c>
      <c r="V7" s="122">
        <v>-0.10466172973182003</v>
      </c>
      <c r="W7" s="211">
        <f t="shared" si="4"/>
        <v>1.6963244503951973E-2</v>
      </c>
      <c r="X7" s="102">
        <f t="shared" si="5"/>
        <v>7.8003461346527567E-2</v>
      </c>
      <c r="Y7" s="100">
        <v>0.35784825991139968</v>
      </c>
      <c r="Z7" s="96">
        <f>SUM(F7-B7)/B7</f>
        <v>0.66324150806609405</v>
      </c>
      <c r="AA7" s="96">
        <f>SUM(G7-B7)/B7</f>
        <v>0.79358882647873052</v>
      </c>
      <c r="AB7" s="96">
        <f t="shared" si="6"/>
        <v>0.83918655789976804</v>
      </c>
      <c r="AC7" s="96">
        <f>SUM(I7-B7)/B7</f>
        <v>0.39523059502080277</v>
      </c>
      <c r="AD7" s="103">
        <f t="shared" si="7"/>
        <v>0.65905875786319879</v>
      </c>
      <c r="AE7" s="124">
        <v>0.48541879853851161</v>
      </c>
      <c r="AF7" s="103">
        <f t="shared" si="8"/>
        <v>0.51061632080888697</v>
      </c>
      <c r="AG7" s="41">
        <f t="shared" si="0"/>
        <v>0.62844962259853665</v>
      </c>
      <c r="AH7" s="46" t="s">
        <v>23</v>
      </c>
      <c r="AI7" s="48">
        <f t="shared" ref="AI7:AQ7" si="13">25*B29</f>
        <v>16.256732224</v>
      </c>
      <c r="AJ7" s="48">
        <f t="shared" si="13"/>
        <v>17.841699486</v>
      </c>
      <c r="AK7" s="48">
        <f t="shared" si="13"/>
        <v>20.376953340599993</v>
      </c>
      <c r="AL7" s="48">
        <f t="shared" si="13"/>
        <v>21.415799649000004</v>
      </c>
      <c r="AM7" s="48">
        <f t="shared" si="13"/>
        <v>25.535438425999992</v>
      </c>
      <c r="AN7" s="48">
        <f t="shared" si="13"/>
        <v>29.558778800000006</v>
      </c>
      <c r="AO7" s="48">
        <f t="shared" si="13"/>
        <v>31.813786999999998</v>
      </c>
      <c r="AP7" s="48">
        <f t="shared" si="13"/>
        <v>29.642561706000002</v>
      </c>
      <c r="AQ7" s="48">
        <f t="shared" si="13"/>
        <v>33.300000000000004</v>
      </c>
      <c r="AR7" s="48">
        <v>37.225148474000001</v>
      </c>
      <c r="AS7" s="48">
        <f t="shared" ref="AS7:AT7" si="14">25*L29</f>
        <v>43.195475363000007</v>
      </c>
      <c r="AT7" s="48">
        <f t="shared" si="14"/>
        <v>44.486952191</v>
      </c>
    </row>
    <row r="8" spans="1:46" s="1" customFormat="1" x14ac:dyDescent="0.3">
      <c r="A8" s="71" t="s">
        <v>24</v>
      </c>
      <c r="B8" s="76">
        <f t="shared" ref="B8:H8" si="15">B7/B6</f>
        <v>1.0699173375022095</v>
      </c>
      <c r="C8" s="66">
        <f t="shared" si="15"/>
        <v>1.0481813141325069</v>
      </c>
      <c r="D8" s="66">
        <f t="shared" si="15"/>
        <v>1.0335698435673109</v>
      </c>
      <c r="E8" s="66">
        <f t="shared" si="15"/>
        <v>1.0622839458751074</v>
      </c>
      <c r="F8" s="66">
        <f t="shared" si="15"/>
        <v>1.2270049400650278</v>
      </c>
      <c r="G8" s="66">
        <f t="shared" si="15"/>
        <v>1.2099705583525662</v>
      </c>
      <c r="H8" s="66">
        <f t="shared" si="15"/>
        <v>1.229472779050119</v>
      </c>
      <c r="I8" s="77">
        <f>I7/I6</f>
        <v>1.23277789902414</v>
      </c>
      <c r="J8" s="77">
        <f>J7/J6</f>
        <v>1.3500306712434254</v>
      </c>
      <c r="K8" s="82">
        <v>1.1419735579827912</v>
      </c>
      <c r="L8" s="77">
        <v>0.95362828919390696</v>
      </c>
      <c r="M8" s="67">
        <f>M7/M6</f>
        <v>1.0148383079231267</v>
      </c>
      <c r="N8" s="132"/>
      <c r="O8" s="132"/>
      <c r="P8" s="132"/>
      <c r="R8" s="89" t="s">
        <v>14</v>
      </c>
      <c r="S8" s="89"/>
      <c r="T8" s="89" t="s">
        <v>14</v>
      </c>
      <c r="U8" s="89"/>
      <c r="V8" s="89"/>
      <c r="W8" s="212"/>
      <c r="X8" s="40"/>
      <c r="AG8" s="39"/>
    </row>
    <row r="9" spans="1:46" s="1" customFormat="1" x14ac:dyDescent="0.3">
      <c r="A9" s="72"/>
      <c r="D9" s="92"/>
      <c r="E9" s="135"/>
      <c r="F9" s="135"/>
      <c r="G9" s="135"/>
      <c r="H9" s="92"/>
      <c r="I9" s="121"/>
      <c r="J9" s="121"/>
      <c r="K9" s="121"/>
      <c r="L9" s="121"/>
      <c r="M9" s="88"/>
      <c r="N9" s="132"/>
      <c r="O9" s="132"/>
      <c r="P9" s="132"/>
      <c r="R9" s="89"/>
      <c r="S9" s="89"/>
      <c r="T9" s="89"/>
      <c r="U9" s="89"/>
      <c r="V9" s="89"/>
      <c r="W9" s="212"/>
      <c r="X9" s="40"/>
      <c r="AG9" s="39"/>
    </row>
    <row r="10" spans="1:46" s="1" customFormat="1" x14ac:dyDescent="0.3">
      <c r="A10" s="72" t="s">
        <v>25</v>
      </c>
      <c r="D10" s="92"/>
      <c r="E10" s="135"/>
      <c r="F10" s="135"/>
      <c r="G10" s="135"/>
      <c r="H10" s="92"/>
      <c r="I10" s="136" t="s">
        <v>14</v>
      </c>
      <c r="J10" s="121"/>
      <c r="K10" s="121"/>
      <c r="L10" s="121"/>
      <c r="M10" s="88"/>
      <c r="N10" s="132"/>
      <c r="O10" s="132"/>
      <c r="P10" s="132"/>
      <c r="R10" s="89" t="s">
        <v>14</v>
      </c>
      <c r="S10" s="89"/>
      <c r="T10" s="89" t="s">
        <v>14</v>
      </c>
      <c r="U10" s="89"/>
      <c r="V10" s="89"/>
      <c r="W10" s="212"/>
      <c r="X10" s="40"/>
      <c r="AG10" s="39"/>
    </row>
    <row r="11" spans="1:46" s="1" customFormat="1" x14ac:dyDescent="0.3">
      <c r="A11" s="71" t="s">
        <v>26</v>
      </c>
      <c r="B11" s="18">
        <v>73.8</v>
      </c>
      <c r="C11" s="19">
        <v>73.466666666666669</v>
      </c>
      <c r="D11" s="19">
        <v>70.733333333333334</v>
      </c>
      <c r="E11" s="35">
        <v>77.533333333333331</v>
      </c>
      <c r="F11" s="35">
        <v>83.666666666666671</v>
      </c>
      <c r="G11" s="35">
        <v>105.53333333333333</v>
      </c>
      <c r="H11" s="19">
        <v>114.26666666666667</v>
      </c>
      <c r="I11" s="78">
        <v>123.66666666666667</v>
      </c>
      <c r="J11" s="33">
        <v>132</v>
      </c>
      <c r="K11" s="64">
        <v>128.14285714285714</v>
      </c>
      <c r="L11" s="33">
        <v>134.26666666666668</v>
      </c>
      <c r="M11" s="74">
        <f>'Independent Groups'!I56</f>
        <v>147.33333333333334</v>
      </c>
      <c r="N11" s="98">
        <v>-4.5167118337849409E-3</v>
      </c>
      <c r="O11" s="94">
        <v>-3.7205081669691484E-2</v>
      </c>
      <c r="P11" s="94">
        <v>9.6135721017907599E-2</v>
      </c>
      <c r="Q11" s="95">
        <f>SUM(F11-E11)/E11</f>
        <v>7.9105760963026739E-2</v>
      </c>
      <c r="R11" s="95">
        <f t="shared" si="1"/>
        <v>0.26135458167330666</v>
      </c>
      <c r="S11" s="95">
        <f t="shared" ref="S11:S15" si="16">SUM(H11-G11)/G11</f>
        <v>8.2754264055590665E-2</v>
      </c>
      <c r="T11" s="95">
        <f t="shared" ref="T11:U15" si="17">SUM(I11-H11)/H11</f>
        <v>8.2263710618436459E-2</v>
      </c>
      <c r="U11" s="99">
        <f t="shared" si="17"/>
        <v>6.7385444743935263E-2</v>
      </c>
      <c r="V11" s="122">
        <v>-2.9220779220779251E-2</v>
      </c>
      <c r="W11" s="211">
        <f t="shared" ref="W11:W15" si="18">SUM(L11-K11)/K11</f>
        <v>4.7788926049795753E-2</v>
      </c>
      <c r="X11" s="102">
        <f t="shared" ref="X11:X15" si="19">SUM(M11-L11)/L11</f>
        <v>9.7318768619662321E-2</v>
      </c>
      <c r="Y11" s="100">
        <v>5.0587172538392067E-2</v>
      </c>
      <c r="Z11" s="96">
        <f>SUM(F11-B11)/B11</f>
        <v>0.13369467028003623</v>
      </c>
      <c r="AA11" s="96">
        <f>SUM(G11-B11)/B11</f>
        <v>0.42999096657633246</v>
      </c>
      <c r="AB11" s="96">
        <f t="shared" ref="AB11:AB15" si="20">SUM(H11-B11)/B11</f>
        <v>0.54832881662149957</v>
      </c>
      <c r="AC11" s="96">
        <f>SUM(I11-B11)/B11</f>
        <v>0.67570009033423684</v>
      </c>
      <c r="AD11" s="103">
        <f>SUM(J11-B11)/B11</f>
        <v>0.78861788617886186</v>
      </c>
      <c r="AE11" s="124">
        <v>0.73635307781649251</v>
      </c>
      <c r="AF11" s="103">
        <f t="shared" ref="AF11:AF15" si="21">SUM(L11-B11)/B11</f>
        <v>0.81933152664860009</v>
      </c>
      <c r="AG11" s="41">
        <f t="shared" ref="AG11:AG15" si="22">SUM(M11-B11)/B11</f>
        <v>0.99638663053297216</v>
      </c>
    </row>
    <row r="12" spans="1:46" s="1" customFormat="1" x14ac:dyDescent="0.3">
      <c r="A12" s="71" t="s">
        <v>17</v>
      </c>
      <c r="B12" s="18">
        <v>15.866666666666667</v>
      </c>
      <c r="C12" s="2">
        <v>13</v>
      </c>
      <c r="D12" s="2">
        <v>14</v>
      </c>
      <c r="E12" s="35">
        <v>14</v>
      </c>
      <c r="F12" s="35">
        <v>14</v>
      </c>
      <c r="G12" s="35">
        <v>15.733333333333333</v>
      </c>
      <c r="H12" s="19">
        <v>16.133333333333333</v>
      </c>
      <c r="I12" s="78">
        <v>17.066666666666666</v>
      </c>
      <c r="J12" s="33">
        <v>17</v>
      </c>
      <c r="K12" s="64">
        <v>16.785714285714285</v>
      </c>
      <c r="L12" s="33">
        <v>18.066666666666666</v>
      </c>
      <c r="M12" s="74">
        <f>'Independent Groups'!H56</f>
        <v>18.733333333333334</v>
      </c>
      <c r="N12" s="98">
        <v>-0.18067226890756305</v>
      </c>
      <c r="O12" s="94">
        <v>7.6923076923076927E-2</v>
      </c>
      <c r="P12" s="94">
        <v>0</v>
      </c>
      <c r="Q12" s="95">
        <f>SUM(F12-E12)/E12</f>
        <v>0</v>
      </c>
      <c r="R12" s="95">
        <f t="shared" si="1"/>
        <v>0.12380952380952374</v>
      </c>
      <c r="S12" s="95">
        <f t="shared" si="16"/>
        <v>2.5423728813559344E-2</v>
      </c>
      <c r="T12" s="95">
        <f t="shared" si="17"/>
        <v>5.7851239669421503E-2</v>
      </c>
      <c r="U12" s="99">
        <f t="shared" si="17"/>
        <v>-3.9062499999999861E-3</v>
      </c>
      <c r="V12" s="122">
        <v>-1.2605042016806782E-2</v>
      </c>
      <c r="W12" s="211">
        <f t="shared" si="18"/>
        <v>7.6312056737588702E-2</v>
      </c>
      <c r="X12" s="102">
        <f t="shared" si="19"/>
        <v>3.6900369003690106E-2</v>
      </c>
      <c r="Y12" s="101">
        <v>-0.11764705882352944</v>
      </c>
      <c r="Z12" s="97">
        <f>SUM(F12-B12)/B12</f>
        <v>-0.11764705882352944</v>
      </c>
      <c r="AA12" s="97">
        <f>SUM(G12-B12)/B12</f>
        <v>-8.4033613445378963E-3</v>
      </c>
      <c r="AB12" s="96">
        <f t="shared" si="20"/>
        <v>1.6806722689075571E-2</v>
      </c>
      <c r="AC12" s="139">
        <f>SUM(I12-B12)/B12</f>
        <v>7.5630252100840289E-2</v>
      </c>
      <c r="AD12" s="103">
        <f t="shared" ref="AD12:AD15" si="23">SUM(J12-B12)/B12</f>
        <v>7.1428571428571397E-2</v>
      </c>
      <c r="AE12" s="124">
        <v>5.7923169267706985E-2</v>
      </c>
      <c r="AF12" s="103">
        <f t="shared" si="21"/>
        <v>0.1386554621848739</v>
      </c>
      <c r="AG12" s="41">
        <f t="shared" si="22"/>
        <v>0.18067226890756305</v>
      </c>
    </row>
    <row r="13" spans="1:46" s="1" customFormat="1" x14ac:dyDescent="0.3">
      <c r="A13" s="71" t="s">
        <v>18</v>
      </c>
      <c r="B13" s="20">
        <v>1.2949811541999996</v>
      </c>
      <c r="C13" s="21">
        <v>1.4118025060800001</v>
      </c>
      <c r="D13" s="21">
        <v>1.5860709760999998</v>
      </c>
      <c r="E13" s="36">
        <v>1.7179018719093329</v>
      </c>
      <c r="F13" s="36">
        <v>1.8940310419999997</v>
      </c>
      <c r="G13" s="36">
        <v>2.0520405344666668</v>
      </c>
      <c r="H13" s="21">
        <v>2.1728583333333331</v>
      </c>
      <c r="I13" s="79">
        <v>2.0969677999999998</v>
      </c>
      <c r="J13" s="34">
        <v>2.532</v>
      </c>
      <c r="K13" s="65">
        <v>2.7552365214285715</v>
      </c>
      <c r="L13" s="34">
        <v>3.2090944868466669</v>
      </c>
      <c r="M13" s="75">
        <f>'Independent Groups'!N56</f>
        <v>3.3290033598666673</v>
      </c>
      <c r="N13" s="98">
        <v>9.0210850946451995E-2</v>
      </c>
      <c r="O13" s="94">
        <v>0.12343686122492598</v>
      </c>
      <c r="P13" s="94">
        <v>8.31179044291529E-2</v>
      </c>
      <c r="Q13" s="95">
        <f>SUM(F13-E13)/E13</f>
        <v>0.1025257454867961</v>
      </c>
      <c r="R13" s="95">
        <f t="shared" si="1"/>
        <v>8.3424975073173632E-2</v>
      </c>
      <c r="S13" s="95">
        <f t="shared" si="16"/>
        <v>5.8876906589989626E-2</v>
      </c>
      <c r="T13" s="95">
        <f t="shared" si="17"/>
        <v>-3.4926590550848902E-2</v>
      </c>
      <c r="U13" s="99">
        <f t="shared" si="17"/>
        <v>0.20745773969442938</v>
      </c>
      <c r="V13" s="122">
        <v>8.8166082712705929E-2</v>
      </c>
      <c r="W13" s="211">
        <f t="shared" si="18"/>
        <v>0.16472559139234011</v>
      </c>
      <c r="X13" s="102">
        <f t="shared" si="19"/>
        <v>3.7365329538123306E-2</v>
      </c>
      <c r="Y13" s="100">
        <v>0.32658445749397869</v>
      </c>
      <c r="Z13" s="96">
        <f>SUM(F13-B13)/B13</f>
        <v>0.46259351794974585</v>
      </c>
      <c r="AA13" s="96">
        <f>SUM(G13-B13)/B13</f>
        <v>0.58461034572688875</v>
      </c>
      <c r="AB13" s="96">
        <f t="shared" si="20"/>
        <v>0.67790730103378194</v>
      </c>
      <c r="AC13" s="96">
        <f>SUM(I13-B13)/B13</f>
        <v>0.61930371974829512</v>
      </c>
      <c r="AD13" s="103">
        <f t="shared" si="23"/>
        <v>0.95524080932605804</v>
      </c>
      <c r="AE13" s="124">
        <v>1.1276267322443574</v>
      </c>
      <c r="AF13" s="103">
        <f t="shared" si="21"/>
        <v>1.4781013039754614</v>
      </c>
      <c r="AG13" s="41">
        <f t="shared" si="22"/>
        <v>1.5706963758273575</v>
      </c>
    </row>
    <row r="14" spans="1:46" s="1" customFormat="1" x14ac:dyDescent="0.3">
      <c r="A14" s="71" t="s">
        <v>20</v>
      </c>
      <c r="B14" s="18">
        <v>27600.733333333334</v>
      </c>
      <c r="C14" s="19">
        <v>30988.866666666665</v>
      </c>
      <c r="D14" s="19">
        <v>32279.8</v>
      </c>
      <c r="E14" s="35">
        <v>37017.131533333333</v>
      </c>
      <c r="F14" s="35">
        <v>35098.333333333336</v>
      </c>
      <c r="G14" s="35">
        <v>38676.416666666664</v>
      </c>
      <c r="H14" s="19">
        <v>40769.066666666666</v>
      </c>
      <c r="I14" s="78">
        <v>35856.555333333337</v>
      </c>
      <c r="J14" s="33">
        <v>36495</v>
      </c>
      <c r="K14" s="64">
        <v>38701.285714285717</v>
      </c>
      <c r="L14" s="33">
        <v>42733.133333333331</v>
      </c>
      <c r="M14" s="74">
        <f>'Independent Groups'!P56</f>
        <v>48276.26666666667</v>
      </c>
      <c r="N14" s="98">
        <v>0.12275519249488533</v>
      </c>
      <c r="O14" s="94">
        <v>4.1657971787717345E-2</v>
      </c>
      <c r="P14" s="94">
        <v>0.14675839172898636</v>
      </c>
      <c r="Q14" s="95">
        <f>SUM(F14-E14)/E14</f>
        <v>-5.1835410268679258E-2</v>
      </c>
      <c r="R14" s="95">
        <f t="shared" si="1"/>
        <v>0.10194453677762462</v>
      </c>
      <c r="S14" s="95">
        <f t="shared" si="16"/>
        <v>5.4106615357765432E-2</v>
      </c>
      <c r="T14" s="95">
        <f t="shared" si="17"/>
        <v>-0.12049604602182035</v>
      </c>
      <c r="U14" s="99">
        <f t="shared" si="17"/>
        <v>1.7805521493391898E-2</v>
      </c>
      <c r="V14" s="122">
        <v>6.0454465386647963E-2</v>
      </c>
      <c r="W14" s="211">
        <f t="shared" si="18"/>
        <v>0.10417864793466919</v>
      </c>
      <c r="X14" s="102">
        <f t="shared" si="19"/>
        <v>0.12971511567136831</v>
      </c>
      <c r="Y14" s="100">
        <v>0.34116478306131959</v>
      </c>
      <c r="Z14" s="96">
        <f>SUM(F14-B14)/B14</f>
        <v>0.27164495629343188</v>
      </c>
      <c r="AA14" s="96">
        <f>SUM(G14-B14)/B14</f>
        <v>0.40128221230836852</v>
      </c>
      <c r="AB14" s="96">
        <f t="shared" si="20"/>
        <v>0.47710084997741603</v>
      </c>
      <c r="AC14" s="96">
        <f>SUM(I14-B14)/B14</f>
        <v>0.29911603797966735</v>
      </c>
      <c r="AD14" s="103">
        <f t="shared" si="23"/>
        <v>0.32224747651632446</v>
      </c>
      <c r="AE14" s="124">
        <v>0.40218324081796319</v>
      </c>
      <c r="AF14" s="103">
        <f t="shared" si="21"/>
        <v>0.54826079500303126</v>
      </c>
      <c r="AG14" s="41">
        <f t="shared" si="22"/>
        <v>0.74909362311629413</v>
      </c>
    </row>
    <row r="15" spans="1:46" s="1" customFormat="1" x14ac:dyDescent="0.3">
      <c r="A15" s="71" t="s">
        <v>22</v>
      </c>
      <c r="B15" s="18">
        <v>23759.333333333332</v>
      </c>
      <c r="C15" s="19">
        <v>26374.733333333334</v>
      </c>
      <c r="D15" s="19">
        <v>24158.466666666667</v>
      </c>
      <c r="E15" s="35">
        <v>27116.957959999996</v>
      </c>
      <c r="F15" s="35">
        <v>28185</v>
      </c>
      <c r="G15" s="35">
        <v>30978.85</v>
      </c>
      <c r="H15" s="19">
        <v>36261.066666666666</v>
      </c>
      <c r="I15" s="78">
        <v>35107.933333333334</v>
      </c>
      <c r="J15" s="87">
        <v>34620</v>
      </c>
      <c r="K15" s="120">
        <v>32411.571428571428</v>
      </c>
      <c r="L15" s="33">
        <v>41847.4</v>
      </c>
      <c r="M15" s="74">
        <f>'Independent Groups'!Q56</f>
        <v>41546.26666666667</v>
      </c>
      <c r="N15" s="98">
        <v>0.11007884620780613</v>
      </c>
      <c r="O15" s="94">
        <v>-8.4029917522072881E-2</v>
      </c>
      <c r="P15" s="94">
        <v>0.12246188196270716</v>
      </c>
      <c r="Q15" s="95">
        <f>SUM(F15-E15)/E15</f>
        <v>3.9386499089443E-2</v>
      </c>
      <c r="R15" s="95">
        <f t="shared" si="1"/>
        <v>9.9125421323398924E-2</v>
      </c>
      <c r="S15" s="95">
        <f t="shared" si="16"/>
        <v>0.17051041812935816</v>
      </c>
      <c r="T15" s="95">
        <f t="shared" si="17"/>
        <v>-3.1800866310239026E-2</v>
      </c>
      <c r="U15" s="99">
        <f t="shared" si="17"/>
        <v>-1.3898093308445032E-2</v>
      </c>
      <c r="V15" s="122">
        <v>-6.3790542213419191E-2</v>
      </c>
      <c r="W15" s="211">
        <f t="shared" si="18"/>
        <v>0.2911253035732389</v>
      </c>
      <c r="X15" s="102">
        <f t="shared" si="19"/>
        <v>-7.1959866881414706E-3</v>
      </c>
      <c r="Y15" s="100">
        <v>0.14131813294424636</v>
      </c>
      <c r="Z15" s="96">
        <f>SUM(F15-B15)/B15</f>
        <v>0.1862706585482197</v>
      </c>
      <c r="AA15" s="96">
        <f>SUM(G15-B15)/B15</f>
        <v>0.30386023738039786</v>
      </c>
      <c r="AB15" s="96">
        <f t="shared" si="20"/>
        <v>0.52618199163837376</v>
      </c>
      <c r="AC15" s="96">
        <f>SUM(I15-B15)/B15</f>
        <v>0.47764808215718746</v>
      </c>
      <c r="AD15" s="103">
        <f t="shared" si="23"/>
        <v>0.45711159123432205</v>
      </c>
      <c r="AE15" s="124">
        <v>0.36416165276402657</v>
      </c>
      <c r="AF15" s="103">
        <f t="shared" si="21"/>
        <v>0.76130362804792517</v>
      </c>
      <c r="AG15" s="41">
        <f t="shared" si="22"/>
        <v>0.748629310586717</v>
      </c>
    </row>
    <row r="16" spans="1:46" s="1" customFormat="1" x14ac:dyDescent="0.3">
      <c r="A16" s="71" t="s">
        <v>24</v>
      </c>
      <c r="B16" s="76">
        <f t="shared" ref="B16:H16" si="24">B15/B14</f>
        <v>0.86082253853158486</v>
      </c>
      <c r="C16" s="66">
        <f t="shared" si="24"/>
        <v>0.85110351459556444</v>
      </c>
      <c r="D16" s="66">
        <f t="shared" si="24"/>
        <v>0.7484081892287644</v>
      </c>
      <c r="E16" s="66">
        <f t="shared" si="24"/>
        <v>0.73255157373773305</v>
      </c>
      <c r="F16" s="66">
        <f t="shared" si="24"/>
        <v>0.80302958355097576</v>
      </c>
      <c r="G16" s="66">
        <f t="shared" si="24"/>
        <v>0.80097518513650656</v>
      </c>
      <c r="H16" s="66">
        <f t="shared" si="24"/>
        <v>0.88942597001648305</v>
      </c>
      <c r="I16" s="77">
        <f>I15/I14</f>
        <v>0.97912175352482722</v>
      </c>
      <c r="J16" s="77">
        <f>J15/J14</f>
        <v>0.94862309905466502</v>
      </c>
      <c r="K16" s="82">
        <v>0.8374804823760007</v>
      </c>
      <c r="L16" s="77">
        <v>0.97927291391379379</v>
      </c>
      <c r="M16" s="67">
        <f>M15/M14</f>
        <v>0.86059402549769104</v>
      </c>
      <c r="N16" s="132"/>
      <c r="O16" s="132"/>
      <c r="P16" s="132"/>
      <c r="R16" s="89" t="s">
        <v>14</v>
      </c>
      <c r="S16" s="89"/>
      <c r="T16" s="89" t="s">
        <v>27</v>
      </c>
      <c r="U16" s="89"/>
      <c r="V16" s="89"/>
      <c r="W16" s="212"/>
      <c r="X16" s="40"/>
      <c r="AG16" s="39"/>
    </row>
    <row r="17" spans="1:52" s="1" customFormat="1" x14ac:dyDescent="0.3">
      <c r="A17" s="72"/>
      <c r="D17" s="92"/>
      <c r="E17" s="135"/>
      <c r="F17" s="135"/>
      <c r="G17" s="135"/>
      <c r="H17" s="92"/>
      <c r="I17" s="121"/>
      <c r="J17" s="83"/>
      <c r="K17" s="121"/>
      <c r="L17" s="121"/>
      <c r="M17" s="88"/>
      <c r="N17" s="132"/>
      <c r="O17" s="132"/>
      <c r="P17" s="132"/>
      <c r="R17" s="89"/>
      <c r="S17" s="89"/>
      <c r="T17" s="89"/>
      <c r="U17" s="89"/>
      <c r="V17" s="89"/>
      <c r="W17" s="212"/>
      <c r="X17" s="40"/>
      <c r="AG17" s="39"/>
    </row>
    <row r="18" spans="1:52" s="1" customFormat="1" x14ac:dyDescent="0.3">
      <c r="A18" s="73" t="s">
        <v>28</v>
      </c>
      <c r="D18" s="92"/>
      <c r="E18" s="135"/>
      <c r="F18" s="135"/>
      <c r="G18" s="135"/>
      <c r="H18" s="92"/>
      <c r="I18" s="136"/>
      <c r="J18" s="84"/>
      <c r="K18" s="121"/>
      <c r="L18" s="121"/>
      <c r="M18" s="88"/>
      <c r="N18" s="132"/>
      <c r="O18" s="132"/>
      <c r="P18" s="132"/>
      <c r="R18" s="89" t="s">
        <v>14</v>
      </c>
      <c r="S18" s="89"/>
      <c r="T18" s="89" t="s">
        <v>14</v>
      </c>
      <c r="U18" s="89"/>
      <c r="V18" s="89"/>
      <c r="W18" s="212"/>
      <c r="X18" s="40"/>
      <c r="AG18" s="39"/>
    </row>
    <row r="19" spans="1:52" s="1" customFormat="1" x14ac:dyDescent="0.3">
      <c r="A19" s="71" t="s">
        <v>26</v>
      </c>
      <c r="B19" s="18">
        <v>104.36</v>
      </c>
      <c r="C19" s="19">
        <v>107.96</v>
      </c>
      <c r="D19" s="19">
        <v>108.48</v>
      </c>
      <c r="E19" s="35">
        <v>114.4</v>
      </c>
      <c r="F19" s="35">
        <v>128.72</v>
      </c>
      <c r="G19" s="35">
        <v>147.91999999999999</v>
      </c>
      <c r="H19" s="19">
        <v>149.63999999999999</v>
      </c>
      <c r="I19" s="78">
        <v>151.4</v>
      </c>
      <c r="J19" s="33">
        <v>168</v>
      </c>
      <c r="K19" s="64">
        <v>184.56</v>
      </c>
      <c r="L19" s="33">
        <v>200.44</v>
      </c>
      <c r="M19" s="74">
        <f>'Independent Groups'!I55</f>
        <v>219.52</v>
      </c>
      <c r="N19" s="98">
        <v>3.4495975469528498E-2</v>
      </c>
      <c r="O19" s="94">
        <v>4.8165987402742708E-3</v>
      </c>
      <c r="P19" s="94">
        <v>5.4572271386430692E-2</v>
      </c>
      <c r="Q19" s="95">
        <f>SUM(F19-E19)/E19</f>
        <v>0.12517482517482512</v>
      </c>
      <c r="R19" s="95">
        <f t="shared" si="1"/>
        <v>0.14916096954630195</v>
      </c>
      <c r="S19" s="95">
        <f t="shared" ref="S19:S23" si="25">SUM(H19-G19)/G19</f>
        <v>1.1627906976744179E-2</v>
      </c>
      <c r="T19" s="95">
        <f t="shared" ref="T19:U23" si="26">SUM(I19-H19)/H19</f>
        <v>1.1761561079925284E-2</v>
      </c>
      <c r="U19" s="99">
        <f t="shared" si="26"/>
        <v>0.10964332892998675</v>
      </c>
      <c r="V19" s="122">
        <v>9.8571428571428588E-2</v>
      </c>
      <c r="W19" s="211">
        <f t="shared" ref="W19:W23" si="27">SUM(L19-K19)/K19</f>
        <v>8.6042479410489786E-2</v>
      </c>
      <c r="X19" s="102">
        <f t="shared" ref="X19:X23" si="28">SUM(M19-L19)/L19</f>
        <v>9.5190580722410753E-2</v>
      </c>
      <c r="Y19" s="100">
        <v>9.620544269835192E-2</v>
      </c>
      <c r="Z19" s="96">
        <f>SUM(F19-B19)/B19</f>
        <v>0.23342276734380987</v>
      </c>
      <c r="AA19" s="96">
        <f>SUM(G19-B19)/B19</f>
        <v>0.41740130318129542</v>
      </c>
      <c r="AB19" s="96">
        <f t="shared" ref="AB19:AB23" si="29">SUM(H19-B19)/B19</f>
        <v>0.43388271368340348</v>
      </c>
      <c r="AC19" s="96">
        <f>SUM(I19-B19)/B19</f>
        <v>0.45074741280183983</v>
      </c>
      <c r="AD19" s="103">
        <f>SUM(J19-B19)/B19</f>
        <v>0.60981218857799924</v>
      </c>
      <c r="AE19" s="124">
        <v>0.76849367573783067</v>
      </c>
      <c r="AF19" s="103">
        <f t="shared" ref="AF19:AF23" si="30">SUM(L19-B19)/B19</f>
        <v>0.92065925642008428</v>
      </c>
      <c r="AG19" s="41">
        <f t="shared" ref="AG19:AG23" si="31">SUM(M19-B19)/B19</f>
        <v>1.1034879264085857</v>
      </c>
    </row>
    <row r="20" spans="1:52" s="1" customFormat="1" x14ac:dyDescent="0.3">
      <c r="A20" s="71" t="s">
        <v>17</v>
      </c>
      <c r="B20" s="18">
        <v>15.84</v>
      </c>
      <c r="C20" s="19">
        <v>14.76</v>
      </c>
      <c r="D20" s="19">
        <v>15.88</v>
      </c>
      <c r="E20" s="35">
        <v>15.96</v>
      </c>
      <c r="F20" s="35">
        <v>16</v>
      </c>
      <c r="G20" s="35">
        <v>17.52</v>
      </c>
      <c r="H20" s="19">
        <v>17.760000000000002</v>
      </c>
      <c r="I20" s="78">
        <v>18.04</v>
      </c>
      <c r="J20" s="33">
        <v>20</v>
      </c>
      <c r="K20" s="64">
        <v>20.88</v>
      </c>
      <c r="L20" s="33">
        <v>22.36</v>
      </c>
      <c r="M20" s="74">
        <f>'Independent Groups'!H55</f>
        <v>24.04</v>
      </c>
      <c r="N20" s="98">
        <v>-6.8181818181818191E-2</v>
      </c>
      <c r="O20" s="94">
        <v>7.5880758807588142E-2</v>
      </c>
      <c r="P20" s="94">
        <v>5.0377833753148657E-3</v>
      </c>
      <c r="Q20" s="95">
        <f>SUM(F20-E20)/E20</f>
        <v>2.5062656641603475E-3</v>
      </c>
      <c r="R20" s="95">
        <f t="shared" si="1"/>
        <v>9.4999999999999973E-2</v>
      </c>
      <c r="S20" s="95">
        <f t="shared" si="25"/>
        <v>1.3698630136986415E-2</v>
      </c>
      <c r="T20" s="95">
        <f t="shared" si="26"/>
        <v>1.5765765765765629E-2</v>
      </c>
      <c r="U20" s="99">
        <f t="shared" si="26"/>
        <v>0.1086474501108648</v>
      </c>
      <c r="V20" s="122">
        <v>4.3999999999999949E-2</v>
      </c>
      <c r="W20" s="211">
        <f t="shared" si="27"/>
        <v>7.0881226053639876E-2</v>
      </c>
      <c r="X20" s="102">
        <f t="shared" si="28"/>
        <v>7.5134168157423964E-2</v>
      </c>
      <c r="Y20" s="100">
        <v>7.5757575757576384E-3</v>
      </c>
      <c r="Z20" s="96">
        <f>SUM(F20-B20)/B20</f>
        <v>1.0101010101010111E-2</v>
      </c>
      <c r="AA20" s="96">
        <f>SUM(G20-B20)/B20</f>
        <v>0.10606060606060605</v>
      </c>
      <c r="AB20" s="96">
        <f t="shared" si="29"/>
        <v>0.12121212121212133</v>
      </c>
      <c r="AC20" s="96">
        <f>SUM(I20-B20)/B20</f>
        <v>0.13888888888888884</v>
      </c>
      <c r="AD20" s="103">
        <f t="shared" ref="AD20:AD23" si="32">SUM(J20-B20)/B20</f>
        <v>0.26262626262626265</v>
      </c>
      <c r="AE20" s="124">
        <v>0.31818181818181812</v>
      </c>
      <c r="AF20" s="103">
        <f t="shared" si="30"/>
        <v>0.4116161616161616</v>
      </c>
      <c r="AG20" s="41">
        <f t="shared" si="31"/>
        <v>0.51767676767676762</v>
      </c>
    </row>
    <row r="21" spans="1:52" s="1" customFormat="1" x14ac:dyDescent="0.3">
      <c r="A21" s="71" t="s">
        <v>18</v>
      </c>
      <c r="B21" s="20">
        <v>2.1562951608960002</v>
      </c>
      <c r="C21" s="21">
        <v>2.4061742028480002</v>
      </c>
      <c r="D21" s="21">
        <v>2.7579486637920008</v>
      </c>
      <c r="E21" s="36">
        <v>2.8388083909455997</v>
      </c>
      <c r="F21" s="36">
        <v>3.238915578656</v>
      </c>
      <c r="G21" s="36">
        <v>3.4464900381648262</v>
      </c>
      <c r="H21" s="21">
        <v>3.6410238399999999</v>
      </c>
      <c r="I21" s="79">
        <v>3.2394978599999988</v>
      </c>
      <c r="J21" s="34">
        <v>3.839</v>
      </c>
      <c r="K21" s="65">
        <v>4.2171676272000012</v>
      </c>
      <c r="L21" s="34">
        <v>4.8285698124280012</v>
      </c>
      <c r="M21" s="75">
        <f>'Independent Groups'!N55</f>
        <v>5.0464053063439991</v>
      </c>
      <c r="N21" s="98">
        <v>0.11588350541405863</v>
      </c>
      <c r="O21" s="94">
        <v>0.1461965889783178</v>
      </c>
      <c r="P21" s="94">
        <v>2.9318793426133617E-2</v>
      </c>
      <c r="Q21" s="95">
        <f>SUM(F21-E21)/E21</f>
        <v>0.14094194908911259</v>
      </c>
      <c r="R21" s="95">
        <f t="shared" si="1"/>
        <v>6.4087641208283683E-2</v>
      </c>
      <c r="S21" s="95">
        <f t="shared" si="25"/>
        <v>5.6444034272839005E-2</v>
      </c>
      <c r="T21" s="95">
        <f t="shared" si="26"/>
        <v>-0.11027831666161271</v>
      </c>
      <c r="U21" s="99">
        <f t="shared" si="26"/>
        <v>0.185060205596185</v>
      </c>
      <c r="V21" s="122">
        <v>9.8506805730659341E-2</v>
      </c>
      <c r="W21" s="211">
        <f t="shared" si="27"/>
        <v>0.14497934141497287</v>
      </c>
      <c r="X21" s="102">
        <f t="shared" si="28"/>
        <v>4.5113874786551204E-2</v>
      </c>
      <c r="Y21" s="100">
        <v>0.31652124552651523</v>
      </c>
      <c r="Z21" s="96">
        <f>SUM(F21-B21)/B21</f>
        <v>0.50207431588824847</v>
      </c>
      <c r="AA21" s="96">
        <f>SUM(G21-B21)/B21</f>
        <v>0.59833871571307262</v>
      </c>
      <c r="AB21" s="96">
        <f t="shared" si="29"/>
        <v>0.68855540096238677</v>
      </c>
      <c r="AC21" s="96">
        <f>SUM(I21-B21)/B21</f>
        <v>0.50234435375438025</v>
      </c>
      <c r="AD21" s="103">
        <f t="shared" si="32"/>
        <v>0.7803685087364336</v>
      </c>
      <c r="AE21" s="124">
        <v>0.95574692355551716</v>
      </c>
      <c r="AF21" s="103">
        <f t="shared" si="30"/>
        <v>1.2392898245069552</v>
      </c>
      <c r="AG21" s="41">
        <f t="shared" si="31"/>
        <v>1.3403128652605603</v>
      </c>
    </row>
    <row r="22" spans="1:52" s="1" customFormat="1" x14ac:dyDescent="0.3">
      <c r="A22" s="71" t="s">
        <v>20</v>
      </c>
      <c r="B22" s="18">
        <v>39869.68</v>
      </c>
      <c r="C22" s="19">
        <v>44925.52</v>
      </c>
      <c r="D22" s="19">
        <v>49850</v>
      </c>
      <c r="E22" s="35">
        <v>54088.124359999994</v>
      </c>
      <c r="F22" s="35">
        <v>54864.498320000006</v>
      </c>
      <c r="G22" s="35">
        <v>60173.89</v>
      </c>
      <c r="H22" s="19">
        <v>61768</v>
      </c>
      <c r="I22" s="78">
        <v>49739.293199999993</v>
      </c>
      <c r="J22" s="33">
        <v>52544</v>
      </c>
      <c r="K22" s="64">
        <v>56062.92</v>
      </c>
      <c r="L22" s="33">
        <v>65145</v>
      </c>
      <c r="M22" s="74">
        <f>'Independent Groups'!P55</f>
        <v>68983.8</v>
      </c>
      <c r="N22" s="98">
        <v>0.12680914419177672</v>
      </c>
      <c r="O22" s="94">
        <v>0.10961431275586801</v>
      </c>
      <c r="P22" s="94">
        <v>8.5017539819458268E-2</v>
      </c>
      <c r="Q22" s="95">
        <f>SUM(F22-E22)/E22</f>
        <v>1.4353871005631813E-2</v>
      </c>
      <c r="R22" s="95">
        <f t="shared" si="1"/>
        <v>9.6772810151889002E-2</v>
      </c>
      <c r="S22" s="95">
        <f t="shared" si="25"/>
        <v>2.6491722572697239E-2</v>
      </c>
      <c r="T22" s="95">
        <f t="shared" si="26"/>
        <v>-0.1947401049086907</v>
      </c>
      <c r="U22" s="99">
        <f t="shared" si="26"/>
        <v>5.6388151490661065E-2</v>
      </c>
      <c r="V22" s="122">
        <v>6.6970919610231397E-2</v>
      </c>
      <c r="W22" s="211">
        <f t="shared" si="27"/>
        <v>0.16199798369403523</v>
      </c>
      <c r="X22" s="102">
        <f t="shared" si="28"/>
        <v>5.8927008979967811E-2</v>
      </c>
      <c r="Y22" s="100">
        <v>0.35662298669063797</v>
      </c>
      <c r="Z22" s="96">
        <f>SUM(F22-B22)/B22</f>
        <v>0.37609577804487032</v>
      </c>
      <c r="AA22" s="96">
        <f>SUM(G22-B22)/B22</f>
        <v>0.50926443352442252</v>
      </c>
      <c r="AB22" s="96">
        <f t="shared" si="29"/>
        <v>0.54924744818619065</v>
      </c>
      <c r="AC22" s="96">
        <f>SUM(I22-B22)/B22</f>
        <v>0.24754683759689047</v>
      </c>
      <c r="AD22" s="103">
        <f t="shared" si="32"/>
        <v>0.3178936976669991</v>
      </c>
      <c r="AE22" s="124">
        <v>0.40615425054828624</v>
      </c>
      <c r="AF22" s="103">
        <f t="shared" si="30"/>
        <v>0.63394840389990592</v>
      </c>
      <c r="AG22" s="41">
        <f t="shared" si="31"/>
        <v>0.73023209616931972</v>
      </c>
    </row>
    <row r="23" spans="1:52" s="1" customFormat="1" x14ac:dyDescent="0.3">
      <c r="A23" s="71" t="s">
        <v>22</v>
      </c>
      <c r="B23" s="18">
        <v>39194.559999999998</v>
      </c>
      <c r="C23" s="19">
        <v>43425.760000000002</v>
      </c>
      <c r="D23" s="19">
        <v>46000.480000000003</v>
      </c>
      <c r="E23" s="35">
        <v>50133.498215999993</v>
      </c>
      <c r="F23" s="35">
        <v>58390.513440000002</v>
      </c>
      <c r="G23" s="35">
        <v>63317.55</v>
      </c>
      <c r="H23" s="19">
        <v>67624.039999999994</v>
      </c>
      <c r="I23" s="78">
        <v>55860.36</v>
      </c>
      <c r="J23" s="33">
        <v>62147</v>
      </c>
      <c r="K23" s="64">
        <v>58769.48</v>
      </c>
      <c r="L23" s="33">
        <v>62781.64</v>
      </c>
      <c r="M23" s="74">
        <f>'Independent Groups'!Q55</f>
        <v>65539.600000000006</v>
      </c>
      <c r="N23" s="98">
        <v>0.10795375684788922</v>
      </c>
      <c r="O23" s="94">
        <v>5.9290154046814633E-2</v>
      </c>
      <c r="P23" s="94">
        <v>8.9847284550074027E-2</v>
      </c>
      <c r="Q23" s="95">
        <f>SUM(F23-E23)/E23</f>
        <v>0.1647005598616855</v>
      </c>
      <c r="R23" s="95">
        <f t="shared" si="1"/>
        <v>8.4380771288521839E-2</v>
      </c>
      <c r="S23" s="95">
        <f t="shared" si="25"/>
        <v>6.8014160371018623E-2</v>
      </c>
      <c r="T23" s="95">
        <f t="shared" si="26"/>
        <v>-0.1739570720708197</v>
      </c>
      <c r="U23" s="99">
        <f t="shared" si="26"/>
        <v>0.11254206023734897</v>
      </c>
      <c r="V23" s="122">
        <v>-5.4347273400164077E-2</v>
      </c>
      <c r="W23" s="211">
        <f t="shared" si="27"/>
        <v>6.8269448700243665E-2</v>
      </c>
      <c r="X23" s="102">
        <f t="shared" si="28"/>
        <v>4.3929403564481696E-2</v>
      </c>
      <c r="Y23" s="100">
        <v>0.27909327763852931</v>
      </c>
      <c r="Z23" s="96">
        <f>SUM(F23-B23)/B23</f>
        <v>0.48976065658091344</v>
      </c>
      <c r="AA23" s="96">
        <f>SUM(G23-B23)/B23</f>
        <v>0.61546780981850557</v>
      </c>
      <c r="AB23" s="96">
        <f t="shared" si="29"/>
        <v>0.7253424965097196</v>
      </c>
      <c r="AC23" s="96">
        <f>SUM(I23-B23)/B23</f>
        <v>0.42520696749753034</v>
      </c>
      <c r="AD23" s="103">
        <f t="shared" si="32"/>
        <v>0.5856026958843269</v>
      </c>
      <c r="AE23" s="124">
        <v>0.49942951266706415</v>
      </c>
      <c r="AF23" s="103">
        <f t="shared" si="30"/>
        <v>0.60179473886171964</v>
      </c>
      <c r="AG23" s="41">
        <f t="shared" si="31"/>
        <v>0.67216062637263974</v>
      </c>
    </row>
    <row r="24" spans="1:52" s="1" customFormat="1" x14ac:dyDescent="0.3">
      <c r="A24" s="71" t="s">
        <v>24</v>
      </c>
      <c r="B24" s="76">
        <f t="shared" ref="B24:H24" si="33">B23/B22</f>
        <v>0.98306683173780174</v>
      </c>
      <c r="C24" s="66">
        <f t="shared" si="33"/>
        <v>0.96661674700704647</v>
      </c>
      <c r="D24" s="66">
        <f t="shared" si="33"/>
        <v>0.92277793380140427</v>
      </c>
      <c r="E24" s="66">
        <f t="shared" si="33"/>
        <v>0.92688550045331985</v>
      </c>
      <c r="F24" s="66">
        <f t="shared" si="33"/>
        <v>1.0642677000240544</v>
      </c>
      <c r="G24" s="66">
        <f t="shared" si="33"/>
        <v>1.0522429246305998</v>
      </c>
      <c r="H24" s="66">
        <f t="shared" si="33"/>
        <v>1.094807019816086</v>
      </c>
      <c r="I24" s="77">
        <f>I23/I22</f>
        <v>1.1230630032354383</v>
      </c>
      <c r="J24" s="77">
        <f>J23/J22</f>
        <v>1.1827611144945189</v>
      </c>
      <c r="K24" s="82">
        <v>1.0482771857049187</v>
      </c>
      <c r="L24" s="77">
        <v>0.96372154424744794</v>
      </c>
      <c r="M24" s="67">
        <f>M23/M22</f>
        <v>0.95007233582377315</v>
      </c>
      <c r="N24" s="132"/>
      <c r="O24" s="132"/>
      <c r="P24" s="132"/>
      <c r="R24" s="89" t="s">
        <v>14</v>
      </c>
      <c r="S24" s="89"/>
      <c r="T24" s="89" t="s">
        <v>14</v>
      </c>
      <c r="U24" s="89"/>
      <c r="V24" s="89"/>
      <c r="W24" s="212"/>
      <c r="X24" s="40"/>
      <c r="AG24" s="39"/>
    </row>
    <row r="25" spans="1:52" s="1" customFormat="1" x14ac:dyDescent="0.3">
      <c r="A25" s="72"/>
      <c r="D25" s="92"/>
      <c r="E25" s="135"/>
      <c r="F25" s="135"/>
      <c r="G25" s="135"/>
      <c r="H25" s="92"/>
      <c r="I25" s="121"/>
      <c r="J25" s="121"/>
      <c r="K25" s="121"/>
      <c r="L25" s="121"/>
      <c r="M25" s="88"/>
      <c r="N25" s="132"/>
      <c r="O25" s="132"/>
      <c r="P25" s="132"/>
      <c r="R25" s="89"/>
      <c r="S25" s="89"/>
      <c r="T25" s="89"/>
      <c r="U25" s="89"/>
      <c r="V25" s="89"/>
      <c r="W25" s="212"/>
      <c r="X25" s="40"/>
      <c r="AG25" s="39"/>
    </row>
    <row r="26" spans="1:52" s="1" customFormat="1" x14ac:dyDescent="0.3">
      <c r="A26" s="73" t="s">
        <v>29</v>
      </c>
      <c r="D26" s="92"/>
      <c r="E26" s="135"/>
      <c r="F26" s="135"/>
      <c r="G26" s="135"/>
      <c r="H26" s="92"/>
      <c r="I26" s="136" t="s">
        <v>14</v>
      </c>
      <c r="J26" s="121"/>
      <c r="K26" s="121"/>
      <c r="L26" s="121"/>
      <c r="M26" s="88"/>
      <c r="N26" s="132"/>
      <c r="O26" s="132"/>
      <c r="P26" s="132"/>
      <c r="R26" s="89" t="s">
        <v>14</v>
      </c>
      <c r="S26" s="89"/>
      <c r="T26" s="89" t="s">
        <v>14</v>
      </c>
      <c r="U26" s="89"/>
      <c r="V26" s="89"/>
      <c r="W26" s="212"/>
      <c r="X26" s="40"/>
      <c r="AG26" s="39"/>
    </row>
    <row r="27" spans="1:52" s="1" customFormat="1" x14ac:dyDescent="0.3">
      <c r="A27" s="71" t="s">
        <v>26</v>
      </c>
      <c r="B27" s="18">
        <v>37.72</v>
      </c>
      <c r="C27" s="19">
        <v>42.4</v>
      </c>
      <c r="D27" s="19">
        <v>49.08</v>
      </c>
      <c r="E27" s="35">
        <v>52.32</v>
      </c>
      <c r="F27" s="35">
        <v>69.760000000000005</v>
      </c>
      <c r="G27" s="35">
        <v>62.4</v>
      </c>
      <c r="H27" s="19">
        <v>70.2</v>
      </c>
      <c r="I27" s="78">
        <v>74.88</v>
      </c>
      <c r="J27" s="33">
        <v>85</v>
      </c>
      <c r="K27" s="64">
        <v>97.6</v>
      </c>
      <c r="L27" s="33">
        <v>101.04</v>
      </c>
      <c r="M27" s="74">
        <f>'Independent Groups'!I57</f>
        <v>105.52</v>
      </c>
      <c r="N27" s="98">
        <v>0.12407211028632024</v>
      </c>
      <c r="O27" s="94">
        <v>0.15754716981132075</v>
      </c>
      <c r="P27" s="94">
        <v>6.6014669926650407E-2</v>
      </c>
      <c r="Q27" s="95">
        <f>SUM(F27-E27)/E27</f>
        <v>0.33333333333333343</v>
      </c>
      <c r="R27" s="95">
        <f t="shared" si="1"/>
        <v>-0.10550458715596339</v>
      </c>
      <c r="S27" s="95">
        <f t="shared" ref="S27:S31" si="34">SUM(H27-G27)/G27</f>
        <v>0.12500000000000008</v>
      </c>
      <c r="T27" s="95">
        <f t="shared" ref="T27:U31" si="35">SUM(I27-H27)/H27</f>
        <v>6.6666666666666555E-2</v>
      </c>
      <c r="U27" s="99">
        <f t="shared" si="35"/>
        <v>0.13514957264957272</v>
      </c>
      <c r="V27" s="122">
        <v>0.14823529411764699</v>
      </c>
      <c r="W27" s="211">
        <f t="shared" ref="W27:W31" si="36">SUM(L27-K27)/K27</f>
        <v>3.5245901639344386E-2</v>
      </c>
      <c r="X27" s="102">
        <f t="shared" ref="X27:X31" si="37">SUM(M27-L27)/L27</f>
        <v>4.4338875692794828E-2</v>
      </c>
      <c r="Y27" s="100">
        <v>0.38706256627783675</v>
      </c>
      <c r="Z27" s="96">
        <f>SUM(F27-B27)/B27</f>
        <v>0.84941675503711578</v>
      </c>
      <c r="AA27" s="96">
        <f>SUM(G27-B27)/B27</f>
        <v>0.65429480381760341</v>
      </c>
      <c r="AB27" s="96">
        <f t="shared" ref="AB27:AB31" si="38">SUM(H27-B27)/B27</f>
        <v>0.86108165429480399</v>
      </c>
      <c r="AC27" s="96">
        <f>SUM(I27-B27)/B27</f>
        <v>0.98515376458112403</v>
      </c>
      <c r="AD27" s="103">
        <f>SUM(J27-B27)/B27</f>
        <v>1.2534464475079534</v>
      </c>
      <c r="AE27" s="124">
        <v>1.5874867444326617</v>
      </c>
      <c r="AF27" s="103">
        <f t="shared" ref="AF27:AF31" si="39">SUM(L27-B27)/B27</f>
        <v>1.6786850477200426</v>
      </c>
      <c r="AG27" s="41">
        <f>SUM(M27-B27)/B27</f>
        <v>1.7974549310710499</v>
      </c>
    </row>
    <row r="28" spans="1:52" s="1" customFormat="1" x14ac:dyDescent="0.3">
      <c r="A28" s="71" t="s">
        <v>17</v>
      </c>
      <c r="B28" s="18">
        <v>9.52</v>
      </c>
      <c r="C28" s="19">
        <v>10.92</v>
      </c>
      <c r="D28" s="19">
        <v>13.08</v>
      </c>
      <c r="E28" s="35">
        <v>11.28</v>
      </c>
      <c r="F28" s="35">
        <v>13.32</v>
      </c>
      <c r="G28" s="35">
        <v>12.833333333333334</v>
      </c>
      <c r="H28" s="19">
        <v>12.96</v>
      </c>
      <c r="I28" s="78">
        <v>13.08</v>
      </c>
      <c r="J28" s="33">
        <v>13</v>
      </c>
      <c r="K28" s="64">
        <v>14.68</v>
      </c>
      <c r="L28" s="33">
        <v>15.28</v>
      </c>
      <c r="M28" s="74">
        <f>'Independent Groups'!H57</f>
        <v>16.68</v>
      </c>
      <c r="N28" s="98">
        <v>0.1470588235294118</v>
      </c>
      <c r="O28" s="94">
        <v>0.19780219780219782</v>
      </c>
      <c r="P28" s="94">
        <v>-0.13761467889908263</v>
      </c>
      <c r="Q28" s="95">
        <f>SUM(F28-E28)/E28</f>
        <v>0.18085106382978733</v>
      </c>
      <c r="R28" s="95">
        <f t="shared" si="1"/>
        <v>-3.6536536536536511E-2</v>
      </c>
      <c r="S28" s="95">
        <f t="shared" si="34"/>
        <v>9.8701298701298901E-3</v>
      </c>
      <c r="T28" s="95">
        <f t="shared" si="35"/>
        <v>9.259259259259198E-3</v>
      </c>
      <c r="U28" s="99">
        <f t="shared" si="35"/>
        <v>-6.1162079510703416E-3</v>
      </c>
      <c r="V28" s="122">
        <v>0.1292307692307692</v>
      </c>
      <c r="W28" s="211">
        <f t="shared" si="36"/>
        <v>4.0871934604904611E-2</v>
      </c>
      <c r="X28" s="102">
        <f t="shared" si="37"/>
        <v>9.1623036649214687E-2</v>
      </c>
      <c r="Y28" s="100">
        <v>0.18487394957983191</v>
      </c>
      <c r="Z28" s="96">
        <f>SUM(F28-B28)/B28</f>
        <v>0.3991596638655463</v>
      </c>
      <c r="AA28" s="96">
        <f>SUM(G28-B28)/B28</f>
        <v>0.34803921568627461</v>
      </c>
      <c r="AB28" s="96">
        <f t="shared" si="38"/>
        <v>0.36134453781512621</v>
      </c>
      <c r="AC28" s="96">
        <f>SUM(I28-B28)/B28</f>
        <v>0.37394957983193283</v>
      </c>
      <c r="AD28" s="103">
        <f t="shared" ref="AD28:AD31" si="40">SUM(J28-B28)/B28</f>
        <v>0.36554621848739499</v>
      </c>
      <c r="AE28" s="124">
        <v>0.54201680672268915</v>
      </c>
      <c r="AF28" s="103">
        <f t="shared" si="39"/>
        <v>0.60504201680672265</v>
      </c>
      <c r="AG28" s="41">
        <f t="shared" ref="AG28:AG31" si="41">SUM(M28-B28)/B28</f>
        <v>0.75210084033613456</v>
      </c>
      <c r="AH28" s="45"/>
      <c r="AI28" s="45"/>
      <c r="AJ28" s="45"/>
      <c r="AK28" s="45"/>
      <c r="AL28" s="31"/>
    </row>
    <row r="29" spans="1:52" s="1" customFormat="1" x14ac:dyDescent="0.3">
      <c r="A29" s="71" t="s">
        <v>18</v>
      </c>
      <c r="B29" s="20">
        <v>0.65026928896000002</v>
      </c>
      <c r="C29" s="21">
        <v>0.71366797943999993</v>
      </c>
      <c r="D29" s="21">
        <v>0.81507813362399972</v>
      </c>
      <c r="E29" s="36">
        <v>0.85663198596000012</v>
      </c>
      <c r="F29" s="36">
        <v>1.0214175370399996</v>
      </c>
      <c r="G29" s="36">
        <v>1.1823511520000003</v>
      </c>
      <c r="H29" s="21">
        <v>1.27255148</v>
      </c>
      <c r="I29" s="79">
        <v>1.1857024682400001</v>
      </c>
      <c r="J29" s="34">
        <v>1.3320000000000001</v>
      </c>
      <c r="K29" s="65">
        <v>1.4890059389600001</v>
      </c>
      <c r="L29" s="34">
        <v>1.7278190145200003</v>
      </c>
      <c r="M29" s="75">
        <f>'Independent Groups'!N57</f>
        <v>1.77947808764</v>
      </c>
      <c r="N29" s="98">
        <v>9.7496055182608732E-2</v>
      </c>
      <c r="O29" s="94">
        <v>0.14209710552458046</v>
      </c>
      <c r="P29" s="94">
        <v>5.0981434321202668E-2</v>
      </c>
      <c r="Q29" s="95">
        <f>SUM(F29-E29)/E29</f>
        <v>0.19236446196359289</v>
      </c>
      <c r="R29" s="95">
        <f t="shared" si="1"/>
        <v>0.15755908737025962</v>
      </c>
      <c r="S29" s="95">
        <f t="shared" si="34"/>
        <v>7.6288950069885536E-2</v>
      </c>
      <c r="T29" s="95">
        <f t="shared" si="35"/>
        <v>-6.8247935839892165E-2</v>
      </c>
      <c r="U29" s="99">
        <f t="shared" si="35"/>
        <v>0.12338469023949741</v>
      </c>
      <c r="V29" s="122">
        <v>0.11787232654654657</v>
      </c>
      <c r="W29" s="211">
        <f t="shared" si="36"/>
        <v>0.16038423307216612</v>
      </c>
      <c r="X29" s="102">
        <f t="shared" si="37"/>
        <v>2.9898428415172273E-2</v>
      </c>
      <c r="Y29" s="100">
        <v>0.31734959731843354</v>
      </c>
      <c r="Z29" s="96">
        <f>SUM(F29-B29)/B29</f>
        <v>0.57076084382454972</v>
      </c>
      <c r="AA29" s="96">
        <f>SUM(G29-B29)/B29</f>
        <v>0.81824848885448465</v>
      </c>
      <c r="AB29" s="96">
        <f t="shared" si="38"/>
        <v>0.95696075703534933</v>
      </c>
      <c r="AC29" s="96">
        <f>SUM(I29-B29)/B29</f>
        <v>0.82340222484801395</v>
      </c>
      <c r="AD29" s="103">
        <f t="shared" si="40"/>
        <v>1.0483821435428966</v>
      </c>
      <c r="AE29" s="124">
        <v>1.2898297124586999</v>
      </c>
      <c r="AF29" s="103">
        <f t="shared" si="39"/>
        <v>1.6570822947572472</v>
      </c>
      <c r="AG29" s="41">
        <f t="shared" si="41"/>
        <v>1.7365248795402686</v>
      </c>
      <c r="AH29" s="57"/>
      <c r="AI29" s="57">
        <v>2013</v>
      </c>
      <c r="AJ29" s="57">
        <v>2014</v>
      </c>
      <c r="AK29" s="57">
        <v>2015</v>
      </c>
      <c r="AL29" s="57">
        <v>2016</v>
      </c>
      <c r="AM29" s="57">
        <v>2017</v>
      </c>
      <c r="AN29" s="57">
        <v>2018</v>
      </c>
      <c r="AO29" s="57">
        <v>2019</v>
      </c>
      <c r="AP29" s="57">
        <v>2020</v>
      </c>
      <c r="AQ29" s="57">
        <v>2021</v>
      </c>
      <c r="AR29" s="57">
        <v>2022</v>
      </c>
      <c r="AS29" s="57">
        <v>2023</v>
      </c>
      <c r="AT29" s="57">
        <v>2024</v>
      </c>
      <c r="AU29" s="57">
        <v>2025</v>
      </c>
      <c r="AV29" s="57">
        <v>2026</v>
      </c>
      <c r="AW29" s="57">
        <v>2027</v>
      </c>
      <c r="AX29" s="57">
        <v>2028</v>
      </c>
      <c r="AY29" s="57">
        <v>2029</v>
      </c>
      <c r="AZ29" s="59">
        <v>2030</v>
      </c>
    </row>
    <row r="30" spans="1:52" s="1" customFormat="1" x14ac:dyDescent="0.3">
      <c r="A30" s="71" t="s">
        <v>20</v>
      </c>
      <c r="B30" s="18">
        <v>16376.36</v>
      </c>
      <c r="C30" s="19">
        <v>15215.76</v>
      </c>
      <c r="D30" s="19">
        <v>18386.080000000002</v>
      </c>
      <c r="E30" s="35">
        <v>17457.080000000002</v>
      </c>
      <c r="F30" s="35">
        <v>22209.8</v>
      </c>
      <c r="G30" s="35">
        <v>24272.84</v>
      </c>
      <c r="H30" s="19">
        <v>26699.906000000003</v>
      </c>
      <c r="I30" s="78">
        <v>23939.200000000001</v>
      </c>
      <c r="J30" s="33">
        <v>25106</v>
      </c>
      <c r="K30" s="64">
        <v>24413.24</v>
      </c>
      <c r="L30" s="33">
        <v>25227.463</v>
      </c>
      <c r="M30" s="74">
        <f>'Independent Groups'!P57</f>
        <v>27031.08</v>
      </c>
      <c r="N30" s="98">
        <v>-7.0870449843554992E-2</v>
      </c>
      <c r="O30" s="94">
        <v>0.20835765022581859</v>
      </c>
      <c r="P30" s="94">
        <v>-5.0527355477622195E-2</v>
      </c>
      <c r="Q30" s="95">
        <f>SUM(F30-E30)/E30</f>
        <v>0.27225171678195881</v>
      </c>
      <c r="R30" s="95">
        <f t="shared" si="1"/>
        <v>9.2888724797161662E-2</v>
      </c>
      <c r="S30" s="95">
        <f t="shared" si="34"/>
        <v>9.999101876830245E-2</v>
      </c>
      <c r="T30" s="95">
        <f t="shared" si="35"/>
        <v>-0.10339759248590619</v>
      </c>
      <c r="U30" s="99">
        <f t="shared" si="35"/>
        <v>4.8740141692287096E-2</v>
      </c>
      <c r="V30" s="122">
        <v>-2.7593403967179096E-2</v>
      </c>
      <c r="W30" s="211">
        <f t="shared" si="36"/>
        <v>3.3351697685354259E-2</v>
      </c>
      <c r="X30" s="102">
        <f t="shared" si="37"/>
        <v>7.1494188694281383E-2</v>
      </c>
      <c r="Y30" s="100">
        <v>6.5992687019581955E-2</v>
      </c>
      <c r="Z30" s="96">
        <f>SUM(F30-B30)/B30</f>
        <v>0.35621102613767641</v>
      </c>
      <c r="AA30" s="96">
        <f>SUM(G30-B30)/B30</f>
        <v>0.48218773891145522</v>
      </c>
      <c r="AB30" s="96">
        <f t="shared" si="38"/>
        <v>0.6303932009310983</v>
      </c>
      <c r="AC30" s="96">
        <f>SUM(I30-B30)/B30</f>
        <v>0.46181446914943247</v>
      </c>
      <c r="AD30" s="103">
        <f t="shared" si="40"/>
        <v>0.53306351350361125</v>
      </c>
      <c r="AE30" s="124">
        <v>0.49076107266816316</v>
      </c>
      <c r="AF30" s="103">
        <f t="shared" si="39"/>
        <v>0.54048048528488624</v>
      </c>
      <c r="AG30" s="41">
        <f t="shared" si="41"/>
        <v>0.65061588777970203</v>
      </c>
      <c r="AH30" s="46" t="s">
        <v>19</v>
      </c>
      <c r="AI30" s="52">
        <f t="shared" ref="AI30:AQ30" si="42">B53</f>
        <v>4.125623837318463E-2</v>
      </c>
      <c r="AJ30" s="52">
        <f t="shared" si="42"/>
        <v>4.4113029280294994E-2</v>
      </c>
      <c r="AK30" s="52">
        <f t="shared" si="42"/>
        <v>4.6575260416746249E-2</v>
      </c>
      <c r="AL30" s="52">
        <f t="shared" si="42"/>
        <v>4.5444830685151476E-2</v>
      </c>
      <c r="AM30" s="52">
        <f t="shared" si="42"/>
        <v>4.6646078015364988E-2</v>
      </c>
      <c r="AN30" s="52">
        <f t="shared" si="42"/>
        <v>5.0774045140505562E-2</v>
      </c>
      <c r="AO30" s="52">
        <f t="shared" si="42"/>
        <v>5.078304300341431E-2</v>
      </c>
      <c r="AP30" s="52">
        <f t="shared" si="42"/>
        <v>5.009143944757824E-2</v>
      </c>
      <c r="AQ30" s="52">
        <f t="shared" si="42"/>
        <v>5.4587793906215043E-2</v>
      </c>
      <c r="AR30" s="52">
        <v>6.1426940878779229E-2</v>
      </c>
      <c r="AS30" s="52">
        <f t="shared" ref="AS30:AT30" si="43">L53</f>
        <v>6.5348900699351037E-2</v>
      </c>
      <c r="AT30" s="52">
        <f t="shared" si="43"/>
        <v>6.4948404550804764E-2</v>
      </c>
      <c r="AU30" s="60">
        <f t="shared" ref="AU30:AZ32" si="44">_xlfn.FORECAST.ETS(AU$29,$AJ30:$AS30,$AJ$29:$AS$29)</f>
        <v>6.9380737826340452E-2</v>
      </c>
      <c r="AV30" s="60">
        <f t="shared" si="44"/>
        <v>7.151097473196652E-2</v>
      </c>
      <c r="AW30" s="60">
        <f t="shared" si="44"/>
        <v>7.3641211637592588E-2</v>
      </c>
      <c r="AX30" s="60">
        <f t="shared" si="44"/>
        <v>7.5771448543218656E-2</v>
      </c>
      <c r="AY30" s="60">
        <f t="shared" si="44"/>
        <v>7.7901685448844724E-2</v>
      </c>
      <c r="AZ30" s="63">
        <f>_xlfn.FORECAST.ETS(AZ$29,$AJ30:$AS30,$AJ$29:$AS$29)</f>
        <v>8.0031922354470791E-2</v>
      </c>
    </row>
    <row r="31" spans="1:52" s="1" customFormat="1" ht="15" thickBot="1" x14ac:dyDescent="0.35">
      <c r="A31" s="71" t="s">
        <v>22</v>
      </c>
      <c r="B31" s="18">
        <v>14533.28</v>
      </c>
      <c r="C31" s="19">
        <v>12889.32</v>
      </c>
      <c r="D31" s="19">
        <v>16143.36</v>
      </c>
      <c r="E31" s="35">
        <v>16900.439999999999</v>
      </c>
      <c r="F31" s="35">
        <v>18969.48</v>
      </c>
      <c r="G31" s="35">
        <v>21036.28</v>
      </c>
      <c r="H31" s="19">
        <v>21041.853999999999</v>
      </c>
      <c r="I31" s="78">
        <v>19494.400000000001</v>
      </c>
      <c r="J31" s="33">
        <v>21579</v>
      </c>
      <c r="K31" s="64">
        <v>19574.72</v>
      </c>
      <c r="L31" s="33">
        <v>19707.259999999998</v>
      </c>
      <c r="M31" s="74">
        <f>'Independent Groups'!Q57</f>
        <v>21102.84</v>
      </c>
      <c r="N31" s="98">
        <v>-0.1131169288694638</v>
      </c>
      <c r="O31" s="94">
        <v>0.2524601763320331</v>
      </c>
      <c r="P31" s="94">
        <v>4.6897300190294838E-2</v>
      </c>
      <c r="Q31" s="95">
        <f>SUM(F31-E31)/E31</f>
        <v>0.12242521496481755</v>
      </c>
      <c r="R31" s="95">
        <f t="shared" si="1"/>
        <v>0.10895396183764654</v>
      </c>
      <c r="S31" s="95">
        <f t="shared" si="34"/>
        <v>2.6497080282257719E-4</v>
      </c>
      <c r="T31" s="95">
        <f t="shared" si="35"/>
        <v>-7.3541713577140011E-2</v>
      </c>
      <c r="U31" s="99">
        <f t="shared" si="35"/>
        <v>0.10693327314510825</v>
      </c>
      <c r="V31" s="122">
        <v>-9.2881041753556645E-2</v>
      </c>
      <c r="W31" s="211">
        <f t="shared" si="36"/>
        <v>6.7709780778472039E-3</v>
      </c>
      <c r="X31" s="214">
        <f t="shared" si="37"/>
        <v>7.081552686674869E-2</v>
      </c>
      <c r="Y31" s="100">
        <v>0.16287857937093334</v>
      </c>
      <c r="Z31" s="96">
        <f>SUM(F31-B31)/B31</f>
        <v>0.30524423942840151</v>
      </c>
      <c r="AA31" s="96">
        <f>SUM(G31-B31)/B31</f>
        <v>0.44745577047989155</v>
      </c>
      <c r="AB31" s="96">
        <f t="shared" si="38"/>
        <v>0.44783930399744576</v>
      </c>
      <c r="AC31" s="96">
        <f>SUM(I31-B31)/B31</f>
        <v>0.34136272059713985</v>
      </c>
      <c r="AD31" s="103">
        <f t="shared" si="40"/>
        <v>0.48479902678541931</v>
      </c>
      <c r="AE31" s="124">
        <v>0.34688934638292251</v>
      </c>
      <c r="AF31" s="103">
        <f t="shared" si="39"/>
        <v>0.35600910462056723</v>
      </c>
      <c r="AG31" s="41">
        <f t="shared" si="41"/>
        <v>0.45203560380038088</v>
      </c>
      <c r="AH31" s="47" t="s">
        <v>21</v>
      </c>
      <c r="AI31" s="52">
        <f t="shared" ref="AI31:AQ31" si="45">B50-B53</f>
        <v>2.9311185615868283E-2</v>
      </c>
      <c r="AJ31" s="52">
        <f t="shared" si="45"/>
        <v>3.1148467259776796E-2</v>
      </c>
      <c r="AK31" s="52">
        <f t="shared" si="45"/>
        <v>2.9593219064825253E-2</v>
      </c>
      <c r="AL31" s="52">
        <f t="shared" si="45"/>
        <v>3.1662829483091327E-2</v>
      </c>
      <c r="AM31" s="52">
        <f t="shared" si="45"/>
        <v>2.9058028801298506E-2</v>
      </c>
      <c r="AN31" s="52">
        <f t="shared" si="45"/>
        <v>3.2225954859494442E-2</v>
      </c>
      <c r="AO31" s="52">
        <f t="shared" si="45"/>
        <v>3.3297799621445634E-2</v>
      </c>
      <c r="AP31" s="52">
        <f t="shared" si="45"/>
        <v>3.8180695734865489E-2</v>
      </c>
      <c r="AQ31" s="52">
        <f t="shared" si="45"/>
        <v>3.9001377891327557E-2</v>
      </c>
      <c r="AR31" s="52">
        <v>4.4733666641847913E-2</v>
      </c>
      <c r="AS31" s="52">
        <f t="shared" ref="AS31:AT31" si="46">L50-L53</f>
        <v>4.1969826282598266E-2</v>
      </c>
      <c r="AT31" s="52">
        <f t="shared" si="46"/>
        <v>4.7010795596224078E-2</v>
      </c>
      <c r="AU31" s="60">
        <f t="shared" si="44"/>
        <v>4.6057619613617019E-2</v>
      </c>
      <c r="AV31" s="60">
        <f t="shared" si="44"/>
        <v>4.7681015346771036E-2</v>
      </c>
      <c r="AW31" s="60">
        <f t="shared" si="44"/>
        <v>4.9304411079925045E-2</v>
      </c>
      <c r="AX31" s="60">
        <f t="shared" si="44"/>
        <v>5.0927806813079055E-2</v>
      </c>
      <c r="AY31" s="60">
        <f t="shared" si="44"/>
        <v>5.2551202546233064E-2</v>
      </c>
      <c r="AZ31" s="63">
        <f t="shared" si="44"/>
        <v>5.4174598279387073E-2</v>
      </c>
    </row>
    <row r="32" spans="1:52" s="1" customFormat="1" x14ac:dyDescent="0.3">
      <c r="A32" s="71" t="s">
        <v>24</v>
      </c>
      <c r="B32" s="76">
        <f t="shared" ref="B32:H32" si="47">B31/B30</f>
        <v>0.88745484344506353</v>
      </c>
      <c r="C32" s="66">
        <f t="shared" si="47"/>
        <v>0.84710326661303803</v>
      </c>
      <c r="D32" s="66">
        <f t="shared" si="47"/>
        <v>0.87802076353415193</v>
      </c>
      <c r="E32" s="66">
        <f t="shared" si="47"/>
        <v>0.96811379680908816</v>
      </c>
      <c r="F32" s="66">
        <f t="shared" si="47"/>
        <v>0.85410404416068586</v>
      </c>
      <c r="G32" s="66">
        <f t="shared" si="47"/>
        <v>0.86665919603968877</v>
      </c>
      <c r="H32" s="66">
        <f t="shared" si="47"/>
        <v>0.78808719401484029</v>
      </c>
      <c r="I32" s="77">
        <f>I31/I30</f>
        <v>0.81432963507552469</v>
      </c>
      <c r="J32" s="77">
        <f>J31/J30</f>
        <v>0.85951565362861471</v>
      </c>
      <c r="K32" s="82">
        <v>0.80180754377542673</v>
      </c>
      <c r="L32" s="77">
        <v>0.78118279273662983</v>
      </c>
      <c r="M32" s="67">
        <f>M31/M30</f>
        <v>0.78068800802631633</v>
      </c>
      <c r="N32" s="132"/>
      <c r="O32" s="132"/>
      <c r="P32" s="132"/>
      <c r="R32" s="89" t="s">
        <v>14</v>
      </c>
      <c r="S32" s="89"/>
      <c r="T32" s="89" t="s">
        <v>14</v>
      </c>
      <c r="U32" s="89"/>
      <c r="V32" s="89"/>
      <c r="W32" s="212"/>
      <c r="X32" s="208"/>
      <c r="AG32" s="39"/>
      <c r="AH32" s="46" t="s">
        <v>23</v>
      </c>
      <c r="AI32" s="52">
        <f t="shared" ref="AI32:AQ32" si="48">B56</f>
        <v>2.8985372832622851E-2</v>
      </c>
      <c r="AJ32" s="52">
        <f t="shared" si="48"/>
        <v>2.5490208429297261E-2</v>
      </c>
      <c r="AK32" s="52">
        <f t="shared" si="48"/>
        <v>2.8093074367633544E-2</v>
      </c>
      <c r="AL32" s="52">
        <f t="shared" si="48"/>
        <v>2.4886693855579428E-2</v>
      </c>
      <c r="AM32" s="52">
        <f t="shared" si="48"/>
        <v>3.0645920824246643E-2</v>
      </c>
      <c r="AN32" s="52">
        <f t="shared" si="48"/>
        <v>3.3337722904656808E-2</v>
      </c>
      <c r="AO32" s="52">
        <f t="shared" si="48"/>
        <v>3.6344880755157266E-2</v>
      </c>
      <c r="AP32" s="52">
        <f t="shared" si="48"/>
        <v>4.2484807535615669E-2</v>
      </c>
      <c r="AQ32" s="52">
        <f t="shared" si="48"/>
        <v>4.4716848319385806E-2</v>
      </c>
      <c r="AR32" s="52">
        <v>4.6228851261170045E-2</v>
      </c>
      <c r="AS32" s="52">
        <f t="shared" ref="AS32:AT32" si="49">L56</f>
        <v>4.1730969921963339E-2</v>
      </c>
      <c r="AT32" s="52">
        <f t="shared" si="49"/>
        <v>4.1978200027642562E-2</v>
      </c>
      <c r="AU32" s="60">
        <f t="shared" si="44"/>
        <v>5.1970442617494103E-2</v>
      </c>
      <c r="AV32" s="60">
        <f t="shared" si="44"/>
        <v>5.4451633501373324E-2</v>
      </c>
      <c r="AW32" s="60">
        <f t="shared" si="44"/>
        <v>5.6932824385252545E-2</v>
      </c>
      <c r="AX32" s="60">
        <f t="shared" si="44"/>
        <v>5.9414015269131759E-2</v>
      </c>
      <c r="AY32" s="60">
        <f t="shared" si="44"/>
        <v>6.189520615301098E-2</v>
      </c>
      <c r="AZ32" s="63">
        <f t="shared" si="44"/>
        <v>6.4376397036890201E-2</v>
      </c>
    </row>
    <row r="33" spans="1:52" s="1" customFormat="1" x14ac:dyDescent="0.3">
      <c r="A33" s="72"/>
      <c r="D33" s="92"/>
      <c r="E33" s="135"/>
      <c r="F33" s="135"/>
      <c r="G33" s="135"/>
      <c r="H33" s="92"/>
      <c r="I33" s="121"/>
      <c r="J33" s="121"/>
      <c r="K33" s="121"/>
      <c r="L33" s="121"/>
      <c r="M33" s="88"/>
      <c r="N33" s="132"/>
      <c r="O33" s="132"/>
      <c r="P33" s="132"/>
      <c r="R33" s="89"/>
      <c r="S33" s="89"/>
      <c r="T33" s="89"/>
      <c r="U33" s="89"/>
      <c r="V33" s="89"/>
      <c r="W33" s="212"/>
      <c r="X33" s="208"/>
      <c r="AG33" s="39"/>
      <c r="AH33" s="90"/>
      <c r="AI33" s="58">
        <f t="shared" ref="AI33:AZ33" si="50">SUM(AI30:AI32)</f>
        <v>9.9552796821675768E-2</v>
      </c>
      <c r="AJ33" s="58">
        <f t="shared" si="50"/>
        <v>0.10075170496936905</v>
      </c>
      <c r="AK33" s="58">
        <f t="shared" si="50"/>
        <v>0.10426155384920505</v>
      </c>
      <c r="AL33" s="58">
        <f t="shared" si="50"/>
        <v>0.10199435402382223</v>
      </c>
      <c r="AM33" s="58">
        <f t="shared" si="50"/>
        <v>0.10635002764091014</v>
      </c>
      <c r="AN33" s="58">
        <f t="shared" si="50"/>
        <v>0.11633772290465681</v>
      </c>
      <c r="AO33" s="58">
        <f t="shared" si="50"/>
        <v>0.12042572338001721</v>
      </c>
      <c r="AP33" s="58">
        <f t="shared" si="50"/>
        <v>0.1307569427180594</v>
      </c>
      <c r="AQ33" s="58">
        <f t="shared" si="50"/>
        <v>0.13830602011692841</v>
      </c>
      <c r="AR33" s="58">
        <v>0.15238945878179719</v>
      </c>
      <c r="AS33" s="58">
        <f t="shared" ref="AS33:AT33" si="51">SUM(AS30:AS32)</f>
        <v>0.14904969690391265</v>
      </c>
      <c r="AT33" s="58">
        <f t="shared" si="51"/>
        <v>0.15393740017467139</v>
      </c>
      <c r="AU33" s="61">
        <f t="shared" si="50"/>
        <v>0.16740880005745157</v>
      </c>
      <c r="AV33" s="61">
        <f t="shared" si="50"/>
        <v>0.17364362358011087</v>
      </c>
      <c r="AW33" s="61">
        <f t="shared" si="50"/>
        <v>0.17987844710277018</v>
      </c>
      <c r="AX33" s="61">
        <f t="shared" si="50"/>
        <v>0.18611327062542948</v>
      </c>
      <c r="AY33" s="61">
        <f t="shared" si="50"/>
        <v>0.19234809414808876</v>
      </c>
      <c r="AZ33" s="62">
        <f t="shared" si="50"/>
        <v>0.19858291767074804</v>
      </c>
    </row>
    <row r="34" spans="1:52" s="1" customFormat="1" x14ac:dyDescent="0.3">
      <c r="A34" s="73" t="s">
        <v>30</v>
      </c>
      <c r="D34" s="92"/>
      <c r="E34" s="135"/>
      <c r="F34" s="135"/>
      <c r="G34" s="135"/>
      <c r="H34" s="92"/>
      <c r="I34" s="136" t="s">
        <v>14</v>
      </c>
      <c r="J34" s="121"/>
      <c r="K34" s="121"/>
      <c r="L34" s="121"/>
      <c r="M34" s="88"/>
      <c r="N34" s="132"/>
      <c r="O34" s="132"/>
      <c r="P34" s="132"/>
      <c r="R34" s="89" t="s">
        <v>14</v>
      </c>
      <c r="S34" s="89"/>
      <c r="T34" s="89" t="s">
        <v>14</v>
      </c>
      <c r="U34" s="89"/>
      <c r="V34" s="89"/>
      <c r="W34" s="212"/>
      <c r="X34" s="208"/>
      <c r="AG34" s="39"/>
      <c r="AS34" s="56"/>
      <c r="AT34" s="56"/>
      <c r="AU34" s="56"/>
      <c r="AV34" s="56"/>
      <c r="AW34" s="56"/>
      <c r="AX34" s="56"/>
      <c r="AY34" s="56"/>
      <c r="AZ34" s="56"/>
    </row>
    <row r="35" spans="1:52" s="1" customFormat="1" x14ac:dyDescent="0.3">
      <c r="A35" s="71" t="s">
        <v>26</v>
      </c>
      <c r="B35" s="68">
        <v>71.040000000000006</v>
      </c>
      <c r="C35" s="19">
        <v>75.180000000000007</v>
      </c>
      <c r="D35" s="33">
        <v>78.78</v>
      </c>
      <c r="E35" s="35">
        <v>83.36</v>
      </c>
      <c r="F35" s="35">
        <v>99.24</v>
      </c>
      <c r="G35" s="43">
        <v>105.16</v>
      </c>
      <c r="H35" s="64">
        <v>109.92</v>
      </c>
      <c r="I35" s="80">
        <v>113.14</v>
      </c>
      <c r="J35" s="33">
        <v>126</v>
      </c>
      <c r="K35" s="64">
        <v>141.08000000000001</v>
      </c>
      <c r="L35" s="33">
        <v>150.74</v>
      </c>
      <c r="M35" s="74">
        <f>'Independent Groups'!I53</f>
        <v>162.52000000000001</v>
      </c>
      <c r="N35" s="98">
        <v>5.8277027027027029E-2</v>
      </c>
      <c r="O35" s="94">
        <v>4.7885075818036631E-2</v>
      </c>
      <c r="P35" s="94">
        <v>5.8136582889058111E-2</v>
      </c>
      <c r="Q35" s="95">
        <f>SUM(F35-E35)/E35</f>
        <v>0.19049904030710169</v>
      </c>
      <c r="R35" s="95">
        <f t="shared" si="1"/>
        <v>5.9653365578395831E-2</v>
      </c>
      <c r="S35" s="95">
        <f t="shared" ref="S35:S39" si="52">SUM(H35-G35)/G35</f>
        <v>4.5264359071890505E-2</v>
      </c>
      <c r="T35" s="95">
        <f t="shared" ref="T35:U39" si="53">SUM(I35-H35)/H35</f>
        <v>2.9294032023289656E-2</v>
      </c>
      <c r="U35" s="99">
        <f t="shared" si="53"/>
        <v>0.11366448647693123</v>
      </c>
      <c r="V35" s="122">
        <v>0.11968253968253978</v>
      </c>
      <c r="W35" s="211">
        <f t="shared" ref="W35:W39" si="54">SUM(L35-K35)/K35</f>
        <v>6.8471789055854798E-2</v>
      </c>
      <c r="X35" s="102">
        <f t="shared" ref="X35:X39" si="55">SUM(M35-L35)/L35</f>
        <v>7.8147804166113846E-2</v>
      </c>
      <c r="Y35" s="100">
        <v>0.17342342342342332</v>
      </c>
      <c r="Z35" s="96">
        <f>SUM(F35-B35)/B35</f>
        <v>0.39695945945945926</v>
      </c>
      <c r="AA35" s="96">
        <f>SUM(G35-B35)/B35</f>
        <v>0.48029279279279263</v>
      </c>
      <c r="AB35" s="96">
        <f t="shared" ref="AB35:AB39" si="56">SUM(H35-B35)/B35</f>
        <v>0.54729729729729715</v>
      </c>
      <c r="AC35" s="96">
        <f>SUM(I35-B35)/B35</f>
        <v>0.59262387387387372</v>
      </c>
      <c r="AD35" s="103">
        <f>SUM(J35-B35)/B35</f>
        <v>0.77364864864864846</v>
      </c>
      <c r="AE35" s="124">
        <v>0.98592342342342343</v>
      </c>
      <c r="AF35" s="103">
        <f t="shared" ref="AF35:AF39" si="57">SUM(L35-B35)/B35</f>
        <v>1.1219031531531531</v>
      </c>
      <c r="AG35" s="41">
        <f t="shared" ref="AG35:AG39" si="58">SUM(M35-B35)/B35</f>
        <v>1.2877252252252251</v>
      </c>
    </row>
    <row r="36" spans="1:52" s="1" customFormat="1" x14ac:dyDescent="0.3">
      <c r="A36" s="71" t="s">
        <v>17</v>
      </c>
      <c r="B36" s="68">
        <v>12.68</v>
      </c>
      <c r="C36" s="19">
        <v>12.84</v>
      </c>
      <c r="D36" s="33">
        <v>14.48</v>
      </c>
      <c r="E36" s="35">
        <v>13.62</v>
      </c>
      <c r="F36" s="35">
        <v>14.66</v>
      </c>
      <c r="G36" s="43">
        <v>15.224489795918368</v>
      </c>
      <c r="H36" s="64">
        <v>15.36</v>
      </c>
      <c r="I36" s="80">
        <v>15.56</v>
      </c>
      <c r="J36" s="33">
        <v>16</v>
      </c>
      <c r="K36" s="64">
        <v>17.78</v>
      </c>
      <c r="L36" s="33">
        <v>18.82</v>
      </c>
      <c r="M36" s="74">
        <f>'Independent Groups'!H53</f>
        <v>20.36</v>
      </c>
      <c r="N36" s="98">
        <v>1.2618296529968466E-2</v>
      </c>
      <c r="O36" s="94">
        <v>0.12772585669781936</v>
      </c>
      <c r="P36" s="94">
        <v>-5.939226519337025E-2</v>
      </c>
      <c r="Q36" s="95">
        <f>SUM(F36-E36)/E36</f>
        <v>7.6358296622613869E-2</v>
      </c>
      <c r="R36" s="95">
        <f t="shared" si="1"/>
        <v>3.85054431049364E-2</v>
      </c>
      <c r="S36" s="95">
        <f t="shared" si="52"/>
        <v>8.9008042895441682E-3</v>
      </c>
      <c r="T36" s="95">
        <f t="shared" si="53"/>
        <v>1.3020833333333403E-2</v>
      </c>
      <c r="U36" s="99">
        <f t="shared" si="53"/>
        <v>2.8277634961439556E-2</v>
      </c>
      <c r="V36" s="122">
        <v>0.11125000000000007</v>
      </c>
      <c r="W36" s="211">
        <f t="shared" si="54"/>
        <v>5.8492688413948203E-2</v>
      </c>
      <c r="X36" s="102">
        <f t="shared" si="55"/>
        <v>8.1827842720510052E-2</v>
      </c>
      <c r="Y36" s="100">
        <v>7.4132492113564638E-2</v>
      </c>
      <c r="Z36" s="96">
        <f>SUM(F36-B36)/B36</f>
        <v>0.15615141955835965</v>
      </c>
      <c r="AA36" s="96">
        <f>SUM(G36-B36)/B36</f>
        <v>0.20066954226485553</v>
      </c>
      <c r="AB36" s="96">
        <f t="shared" si="56"/>
        <v>0.2113564668769716</v>
      </c>
      <c r="AC36" s="96">
        <f>SUM(I36-B36)/B36</f>
        <v>0.22712933753943224</v>
      </c>
      <c r="AD36" s="103">
        <f t="shared" ref="AD36:AD39" si="59">SUM(J36-B36)/B36</f>
        <v>0.26182965299684546</v>
      </c>
      <c r="AE36" s="124">
        <v>0.40220820189274459</v>
      </c>
      <c r="AF36" s="103">
        <f t="shared" si="57"/>
        <v>0.48422712933753947</v>
      </c>
      <c r="AG36" s="41">
        <f t="shared" si="58"/>
        <v>0.60567823343848581</v>
      </c>
    </row>
    <row r="37" spans="1:52" s="1" customFormat="1" x14ac:dyDescent="0.3">
      <c r="A37" s="71" t="s">
        <v>18</v>
      </c>
      <c r="B37" s="69">
        <v>1.4032822249280001</v>
      </c>
      <c r="C37" s="21">
        <v>1.5599210911439996</v>
      </c>
      <c r="D37" s="34">
        <v>1.7865133987080011</v>
      </c>
      <c r="E37" s="36">
        <v>1.847720188452799</v>
      </c>
      <c r="F37" s="36">
        <v>2.1301665578480002</v>
      </c>
      <c r="G37" s="44">
        <v>2.3144205950824119</v>
      </c>
      <c r="H37" s="65">
        <v>2.4567876599999994</v>
      </c>
      <c r="I37" s="81">
        <v>2.2126001641199995</v>
      </c>
      <c r="J37" s="34">
        <v>2.5859999999999999</v>
      </c>
      <c r="K37" s="65">
        <v>2.8530867830800002</v>
      </c>
      <c r="L37" s="34">
        <v>3.278194413474</v>
      </c>
      <c r="M37" s="75">
        <f>'Independent Groups'!N53</f>
        <v>3.4129416969919988</v>
      </c>
      <c r="N37" s="98">
        <v>0.11162320981015511</v>
      </c>
      <c r="O37" s="94">
        <v>0.14525882677682464</v>
      </c>
      <c r="P37" s="94">
        <v>3.426047058424659E-2</v>
      </c>
      <c r="Q37" s="95">
        <f>SUM(F37-E37)/E37</f>
        <v>0.15286208981226193</v>
      </c>
      <c r="R37" s="95">
        <f t="shared" si="1"/>
        <v>8.6497479061240279E-2</v>
      </c>
      <c r="S37" s="95">
        <f t="shared" si="52"/>
        <v>6.1513047896343161E-2</v>
      </c>
      <c r="T37" s="95">
        <f t="shared" si="53"/>
        <v>-9.9392999995774944E-2</v>
      </c>
      <c r="U37" s="99">
        <f t="shared" si="53"/>
        <v>0.16876064728509582</v>
      </c>
      <c r="V37" s="122">
        <v>0.10328181866976038</v>
      </c>
      <c r="W37" s="211">
        <f t="shared" si="54"/>
        <v>0.14899919375571263</v>
      </c>
      <c r="X37" s="102">
        <f t="shared" si="55"/>
        <v>4.1104116023187018E-2</v>
      </c>
      <c r="Y37" s="100">
        <v>0.31671317118522052</v>
      </c>
      <c r="Z37" s="96">
        <f>SUM(F37-B37)/B37</f>
        <v>0.51798869821592386</v>
      </c>
      <c r="AA37" s="96">
        <f>SUM(G37-B37)/B37</f>
        <v>0.64929089385505512</v>
      </c>
      <c r="AB37" s="96">
        <f t="shared" si="56"/>
        <v>0.7507438036037638</v>
      </c>
      <c r="AC37" s="96">
        <f>SUM(I37-B37)/B37</f>
        <v>0.57673212473957192</v>
      </c>
      <c r="AD37" s="103">
        <f t="shared" si="59"/>
        <v>0.8428224587058265</v>
      </c>
      <c r="AE37" s="124">
        <v>1.0331525137264437</v>
      </c>
      <c r="AF37" s="103">
        <f t="shared" si="57"/>
        <v>1.3360905990540841</v>
      </c>
      <c r="AG37" s="41">
        <f t="shared" si="58"/>
        <v>1.4321135380782797</v>
      </c>
    </row>
    <row r="38" spans="1:52" s="1" customFormat="1" x14ac:dyDescent="0.3">
      <c r="A38" s="71" t="s">
        <v>20</v>
      </c>
      <c r="B38" s="68">
        <v>28123.02</v>
      </c>
      <c r="C38" s="19">
        <v>30070.639999999999</v>
      </c>
      <c r="D38" s="33">
        <v>34118.04</v>
      </c>
      <c r="E38" s="35">
        <v>35772.602180000002</v>
      </c>
      <c r="F38" s="35">
        <v>38537.149160000001</v>
      </c>
      <c r="G38" s="43">
        <v>42223.364999999998</v>
      </c>
      <c r="H38" s="64">
        <v>44233.953000000001</v>
      </c>
      <c r="I38" s="80">
        <v>36839.246599999999</v>
      </c>
      <c r="J38" s="33">
        <v>38825</v>
      </c>
      <c r="K38" s="64">
        <v>40238.080000000002</v>
      </c>
      <c r="L38" s="33">
        <v>45186.231500000002</v>
      </c>
      <c r="M38" s="74">
        <f>'Independent Groups'!P53</f>
        <v>48007.44</v>
      </c>
      <c r="N38" s="98">
        <v>6.9253586563605155E-2</v>
      </c>
      <c r="O38" s="94">
        <v>0.13459640366816275</v>
      </c>
      <c r="P38" s="94">
        <v>4.8495229503218849E-2</v>
      </c>
      <c r="Q38" s="95">
        <f>SUM(F38-E38)/E38</f>
        <v>7.7281126100063852E-2</v>
      </c>
      <c r="R38" s="95">
        <f t="shared" si="1"/>
        <v>9.5653568578605186E-2</v>
      </c>
      <c r="S38" s="95">
        <f t="shared" si="52"/>
        <v>4.7617900657609916E-2</v>
      </c>
      <c r="T38" s="95">
        <f t="shared" si="53"/>
        <v>-0.16717263320327719</v>
      </c>
      <c r="U38" s="99">
        <f t="shared" si="53"/>
        <v>5.3903203329896586E-2</v>
      </c>
      <c r="V38" s="122">
        <v>3.6396136509980727E-2</v>
      </c>
      <c r="W38" s="211">
        <f t="shared" si="54"/>
        <v>0.12297185899526021</v>
      </c>
      <c r="X38" s="102">
        <f t="shared" si="55"/>
        <v>6.2435135800160732E-2</v>
      </c>
      <c r="Y38" s="100">
        <v>0.27200429328002473</v>
      </c>
      <c r="Z38" s="96">
        <f>SUM(F38-B38)/B38</f>
        <v>0.37030621746882092</v>
      </c>
      <c r="AA38" s="96">
        <f>SUM(G38-B38)/B38</f>
        <v>0.50138089721516388</v>
      </c>
      <c r="AB38" s="96">
        <f t="shared" si="56"/>
        <v>0.57287350362798872</v>
      </c>
      <c r="AC38" s="96">
        <f>SUM(I38-B38)/B38</f>
        <v>0.30993209833083352</v>
      </c>
      <c r="AD38" s="103">
        <f t="shared" si="59"/>
        <v>0.38054163457551854</v>
      </c>
      <c r="AE38" s="124">
        <v>0.43078801636524106</v>
      </c>
      <c r="AF38" s="103">
        <f t="shared" si="57"/>
        <v>0.60673467856581553</v>
      </c>
      <c r="AG38" s="41">
        <f t="shared" si="58"/>
        <v>0.70705137641689986</v>
      </c>
    </row>
    <row r="39" spans="1:52" s="1" customFormat="1" ht="15" thickBot="1" x14ac:dyDescent="0.35">
      <c r="A39" s="71" t="s">
        <v>22</v>
      </c>
      <c r="B39" s="68">
        <v>26863.919999999998</v>
      </c>
      <c r="C39" s="19">
        <v>28157.54</v>
      </c>
      <c r="D39" s="33">
        <v>31071.919999999998</v>
      </c>
      <c r="E39" s="35">
        <v>33516.969107999998</v>
      </c>
      <c r="F39" s="35">
        <v>38679.996720000003</v>
      </c>
      <c r="G39" s="43">
        <v>42176.915000000001</v>
      </c>
      <c r="H39" s="64">
        <v>44332.947</v>
      </c>
      <c r="I39" s="80">
        <v>37677.379999999997</v>
      </c>
      <c r="J39" s="33">
        <v>41863</v>
      </c>
      <c r="K39" s="64">
        <v>39172.1</v>
      </c>
      <c r="L39" s="33">
        <v>41244.449999999997</v>
      </c>
      <c r="M39" s="74">
        <f>'Independent Groups'!Q53</f>
        <v>43321.22</v>
      </c>
      <c r="N39" s="98">
        <v>4.8154550787822575E-2</v>
      </c>
      <c r="O39" s="94">
        <v>0.10350264973431618</v>
      </c>
      <c r="P39" s="94">
        <v>7.8689991091635131E-2</v>
      </c>
      <c r="Q39" s="95">
        <f>SUM(F39-E39)/E39</f>
        <v>0.15404219860583002</v>
      </c>
      <c r="R39" s="95">
        <f t="shared" si="1"/>
        <v>9.0406374781098947E-2</v>
      </c>
      <c r="S39" s="95">
        <f t="shared" si="52"/>
        <v>5.1118769592323178E-2</v>
      </c>
      <c r="T39" s="95">
        <f t="shared" si="53"/>
        <v>-0.1501268796770944</v>
      </c>
      <c r="U39" s="99">
        <f t="shared" si="53"/>
        <v>0.11109105781771458</v>
      </c>
      <c r="V39" s="123">
        <v>-6.4278718677591232E-2</v>
      </c>
      <c r="W39" s="211">
        <f t="shared" si="54"/>
        <v>5.2903724844978919E-2</v>
      </c>
      <c r="X39" s="102">
        <f t="shared" si="55"/>
        <v>5.0352714122748742E-2</v>
      </c>
      <c r="Y39" s="100">
        <v>0.24765741961709237</v>
      </c>
      <c r="Z39" s="96">
        <f>SUM(F39-B39)/B39</f>
        <v>0.43984931164178592</v>
      </c>
      <c r="AA39" s="96">
        <f>SUM(G39-B39)/B39</f>
        <v>0.57002086813838049</v>
      </c>
      <c r="AB39" s="96">
        <f t="shared" si="56"/>
        <v>0.65027840315188556</v>
      </c>
      <c r="AC39" s="96">
        <f>SUM(I39-B39)/B39</f>
        <v>0.40252725588819499</v>
      </c>
      <c r="AD39" s="96">
        <f t="shared" si="59"/>
        <v>0.55833549236299107</v>
      </c>
      <c r="AE39" s="103">
        <v>0.45816768364408472</v>
      </c>
      <c r="AF39" s="103">
        <f t="shared" si="57"/>
        <v>0.53531018555743171</v>
      </c>
      <c r="AG39" s="217">
        <f t="shared" si="58"/>
        <v>0.61261722042054934</v>
      </c>
    </row>
    <row r="40" spans="1:52" s="1" customFormat="1" ht="15" thickBot="1" x14ac:dyDescent="0.35">
      <c r="A40" s="71" t="s">
        <v>24</v>
      </c>
      <c r="B40" s="70">
        <f t="shared" ref="B40:H40" si="60">B39/B38</f>
        <v>0.95522884811090691</v>
      </c>
      <c r="C40" s="66">
        <f t="shared" si="60"/>
        <v>0.93637980435401447</v>
      </c>
      <c r="D40" s="66">
        <f t="shared" si="60"/>
        <v>0.91071820069382636</v>
      </c>
      <c r="E40" s="66">
        <f t="shared" si="60"/>
        <v>0.93694523365535032</v>
      </c>
      <c r="F40" s="66">
        <f t="shared" si="60"/>
        <v>1.0037067495420309</v>
      </c>
      <c r="G40" s="66">
        <f t="shared" si="60"/>
        <v>0.99889989819617653</v>
      </c>
      <c r="H40" s="66">
        <f t="shared" si="60"/>
        <v>1.0022379641267873</v>
      </c>
      <c r="I40" s="82">
        <f>I39/I38</f>
        <v>1.0227511004527436</v>
      </c>
      <c r="J40" s="77">
        <f>J39/J38</f>
        <v>1.0782485511912427</v>
      </c>
      <c r="K40" s="77">
        <v>0.97350817931670686</v>
      </c>
      <c r="L40" s="66">
        <v>0.91276587205551751</v>
      </c>
      <c r="M40" s="189">
        <f>M39/M38</f>
        <v>0.9023855469068961</v>
      </c>
      <c r="N40" s="132"/>
      <c r="O40" s="132"/>
      <c r="P40" s="132"/>
      <c r="R40" s="89" t="s">
        <v>14</v>
      </c>
      <c r="S40" s="89"/>
      <c r="T40" s="89" t="s">
        <v>14</v>
      </c>
      <c r="U40" s="89"/>
      <c r="V40" s="89"/>
      <c r="W40" s="212" t="s">
        <v>14</v>
      </c>
      <c r="X40" s="89"/>
    </row>
    <row r="41" spans="1:52" s="1" customFormat="1" x14ac:dyDescent="0.3">
      <c r="A41" s="72"/>
      <c r="E41" s="132"/>
      <c r="F41" s="132"/>
      <c r="G41" s="132"/>
      <c r="H41" s="132"/>
      <c r="I41" s="137" t="s">
        <v>14</v>
      </c>
      <c r="J41" s="121"/>
      <c r="K41" s="121"/>
      <c r="L41" s="121"/>
      <c r="M41" s="190"/>
      <c r="N41" s="132"/>
      <c r="O41" s="132"/>
      <c r="P41" s="132"/>
      <c r="R41" s="89" t="s">
        <v>14</v>
      </c>
      <c r="S41" s="89"/>
      <c r="T41" s="89" t="s">
        <v>14</v>
      </c>
      <c r="U41" s="89"/>
      <c r="V41" s="89"/>
      <c r="W41" s="212"/>
      <c r="X41" s="89"/>
    </row>
    <row r="42" spans="1:52" s="1" customFormat="1" ht="15" thickBot="1" x14ac:dyDescent="0.35">
      <c r="A42" s="138"/>
      <c r="B42" s="16"/>
      <c r="E42" s="132"/>
      <c r="F42" s="132"/>
      <c r="G42" s="132"/>
      <c r="H42" s="132"/>
      <c r="I42" s="191"/>
      <c r="M42" s="39"/>
      <c r="N42" s="132"/>
      <c r="O42" s="132"/>
      <c r="P42" s="132"/>
      <c r="R42" s="89" t="s">
        <v>14</v>
      </c>
      <c r="S42" s="89"/>
      <c r="T42" s="89" t="s">
        <v>14</v>
      </c>
      <c r="U42" s="89"/>
      <c r="V42" s="89"/>
      <c r="W42" s="212"/>
      <c r="X42" s="89"/>
    </row>
    <row r="43" spans="1:52" s="1" customFormat="1" x14ac:dyDescent="0.3">
      <c r="A43" s="11" t="s">
        <v>31</v>
      </c>
      <c r="B43" s="22"/>
      <c r="C43" s="23"/>
      <c r="D43" s="23" t="s">
        <v>14</v>
      </c>
      <c r="E43" s="192"/>
      <c r="F43" s="192"/>
      <c r="G43" s="192"/>
      <c r="H43" s="192"/>
      <c r="I43" s="106"/>
      <c r="J43" s="23"/>
      <c r="K43" s="23"/>
      <c r="L43" s="130"/>
      <c r="M43" s="226"/>
      <c r="N43" s="192"/>
      <c r="O43" s="192"/>
      <c r="P43" s="192"/>
      <c r="Q43" s="23"/>
      <c r="R43" s="129" t="s">
        <v>14</v>
      </c>
      <c r="S43" s="129"/>
      <c r="T43" s="129" t="s">
        <v>14</v>
      </c>
      <c r="U43" s="129"/>
      <c r="V43" s="129"/>
      <c r="W43" s="227" t="s">
        <v>14</v>
      </c>
      <c r="X43" s="227"/>
      <c r="Y43" s="23"/>
      <c r="Z43" s="23"/>
      <c r="AA43" s="23"/>
      <c r="AB43" s="23"/>
      <c r="AC43" s="23"/>
      <c r="AD43" s="23"/>
      <c r="AE43" s="23"/>
      <c r="AF43" s="130"/>
      <c r="AG43" s="224"/>
    </row>
    <row r="44" spans="1:52" s="1" customFormat="1" x14ac:dyDescent="0.3">
      <c r="A44" s="11" t="s">
        <v>32</v>
      </c>
      <c r="B44" s="24">
        <v>14124676</v>
      </c>
      <c r="C44" s="193">
        <v>14923142</v>
      </c>
      <c r="D44" s="194">
        <v>16361755</v>
      </c>
      <c r="E44" s="194">
        <v>17536560</v>
      </c>
      <c r="F44" s="194">
        <v>18118072</v>
      </c>
      <c r="G44" s="194">
        <v>18202233</v>
      </c>
      <c r="H44" s="194">
        <v>18443305</v>
      </c>
      <c r="I44" s="195">
        <v>14086918</v>
      </c>
      <c r="J44" s="195">
        <v>14035940</v>
      </c>
      <c r="K44" s="195">
        <v>13202383</v>
      </c>
      <c r="L44" s="231">
        <f>12847929+1872519+415189+39953</f>
        <v>15175590</v>
      </c>
      <c r="M44" s="219">
        <v>15403781</v>
      </c>
      <c r="N44" s="89">
        <v>5.6529863056681798E-2</v>
      </c>
      <c r="O44" s="89">
        <v>9.6401481671889208E-2</v>
      </c>
      <c r="P44" s="89">
        <v>7.1801894112214729E-2</v>
      </c>
      <c r="Q44" s="89">
        <f>SUM(F44-E44)/E44</f>
        <v>3.3159981204979767E-2</v>
      </c>
      <c r="R44" s="89">
        <f t="shared" si="1"/>
        <v>4.6451410503280926E-3</v>
      </c>
      <c r="S44" s="89">
        <f t="shared" ref="S44:S49" si="61">SUM(H44-G44)/G44</f>
        <v>1.3244089337830145E-2</v>
      </c>
      <c r="T44" s="89">
        <f>SUM(I44-H44)/H44</f>
        <v>-0.23620424864198689</v>
      </c>
      <c r="U44" s="89">
        <f>SUM(J44-I44)/I44</f>
        <v>-3.6188185378803225E-3</v>
      </c>
      <c r="V44" s="89">
        <v>-5.9387329954388522E-2</v>
      </c>
      <c r="W44" s="212">
        <f>SUM(L44/K44)-1</f>
        <v>0.14945839701817465</v>
      </c>
      <c r="X44" s="212">
        <f>SUM(M44/L44)-1</f>
        <v>1.5036713564348991E-2</v>
      </c>
      <c r="Y44" s="52">
        <v>0.2415548505325007</v>
      </c>
      <c r="Z44" s="52">
        <f>SUM(F44-B44)/B44</f>
        <v>0.2827247860411099</v>
      </c>
      <c r="AA44" s="52">
        <f>SUM(G44-B44)/B44</f>
        <v>0.28868322360102278</v>
      </c>
      <c r="AB44" s="52">
        <f>SUM(H44-B44)/B44</f>
        <v>0.30575065934255768</v>
      </c>
      <c r="AC44" s="228">
        <f>SUM(I44-B44)/B44</f>
        <v>-2.673194061230148E-3</v>
      </c>
      <c r="AD44" s="228">
        <f>SUM(J44-B44)/B44</f>
        <v>-6.2823387948863392E-3</v>
      </c>
      <c r="AE44" s="228">
        <v>-6.5296577422377683E-2</v>
      </c>
      <c r="AF44" s="223">
        <f>SUM(L44/B44)-1</f>
        <v>7.4402697803475304E-2</v>
      </c>
      <c r="AG44" s="216">
        <f>SUM(M44/B44)-1</f>
        <v>9.055818342310995E-2</v>
      </c>
    </row>
    <row r="45" spans="1:52" s="1" customFormat="1" x14ac:dyDescent="0.3">
      <c r="A45" s="11"/>
      <c r="B45" s="16"/>
      <c r="I45" s="104"/>
      <c r="J45" s="1" t="s">
        <v>14</v>
      </c>
      <c r="L45" s="218" t="s">
        <v>14</v>
      </c>
      <c r="M45" s="126"/>
      <c r="R45" s="89" t="s">
        <v>14</v>
      </c>
      <c r="S45" s="89" t="s">
        <v>14</v>
      </c>
      <c r="T45" s="89" t="s">
        <v>14</v>
      </c>
      <c r="U45" s="89"/>
      <c r="V45" s="89"/>
      <c r="W45" s="212"/>
      <c r="X45" s="212"/>
      <c r="AA45" s="52" t="s">
        <v>14</v>
      </c>
      <c r="AB45" s="52"/>
      <c r="AF45" s="196"/>
      <c r="AG45" s="215"/>
    </row>
    <row r="46" spans="1:52" s="1" customFormat="1" x14ac:dyDescent="0.3">
      <c r="A46" s="11" t="s">
        <v>33</v>
      </c>
      <c r="B46" s="25">
        <v>1406151</v>
      </c>
      <c r="C46" s="93">
        <v>1503532</v>
      </c>
      <c r="D46" s="93">
        <v>1705902</v>
      </c>
      <c r="E46" s="93">
        <v>1788630.1089999999</v>
      </c>
      <c r="F46" s="93">
        <v>1926857.4580000001</v>
      </c>
      <c r="G46" s="93">
        <v>2111168.25</v>
      </c>
      <c r="H46" s="93">
        <v>2211697.65</v>
      </c>
      <c r="I46" s="197">
        <v>1841962.3299999998</v>
      </c>
      <c r="J46" s="93">
        <v>1941254</v>
      </c>
      <c r="K46" s="93">
        <v>2011904</v>
      </c>
      <c r="L46" s="198">
        <v>2259311.5750000002</v>
      </c>
      <c r="M46" s="127">
        <f>'Independent Groups'!P59</f>
        <v>2400372</v>
      </c>
      <c r="N46" s="89">
        <v>6.9253586563605182E-2</v>
      </c>
      <c r="O46" s="89">
        <v>0.13459640366816261</v>
      </c>
      <c r="P46" s="89">
        <v>4.8495229503218787E-2</v>
      </c>
      <c r="Q46" s="89">
        <f>SUM(F46-E46)/E46</f>
        <v>7.7281126100063977E-2</v>
      </c>
      <c r="R46" s="89">
        <f t="shared" si="1"/>
        <v>9.56535685786052E-2</v>
      </c>
      <c r="S46" s="89">
        <f t="shared" si="61"/>
        <v>4.7617900657609791E-2</v>
      </c>
      <c r="T46" s="89">
        <f>SUM(I46-H46)/H46</f>
        <v>-0.16717263320327716</v>
      </c>
      <c r="U46" s="89">
        <f>SUM(J46-I46)/I46</f>
        <v>5.3905374926967245E-2</v>
      </c>
      <c r="V46" s="89">
        <v>3.6394000991111931E-2</v>
      </c>
      <c r="W46" s="212">
        <f>SUM(L46/K46)-1</f>
        <v>0.1229718589952602</v>
      </c>
      <c r="X46" s="212">
        <f>SUM(M46/L46)-1</f>
        <v>6.243513580016069E-2</v>
      </c>
      <c r="Y46" s="52">
        <v>0.27200429328002462</v>
      </c>
      <c r="Z46" s="52">
        <f>SUM(F46-B46)/B46</f>
        <v>0.37030621746882098</v>
      </c>
      <c r="AA46" s="52">
        <f>SUM(G46-B46)/B46</f>
        <v>0.50138089721516399</v>
      </c>
      <c r="AB46" s="52">
        <f>SUM(H46-B46)/B46</f>
        <v>0.57287350362798872</v>
      </c>
      <c r="AC46" s="52">
        <f>SUM(I46-B46)/B46</f>
        <v>0.30993209833083352</v>
      </c>
      <c r="AD46" s="52">
        <f>SUM(J46-B46)/B46</f>
        <v>0.380544479220226</v>
      </c>
      <c r="AE46" s="52">
        <v>0.430788016365241</v>
      </c>
      <c r="AF46" s="229">
        <f>SUM(L46/B46)-1</f>
        <v>0.60673467856581564</v>
      </c>
      <c r="AG46" s="216">
        <f t="shared" ref="AG46:AG56" si="62">SUM(M46/B46)-1</f>
        <v>0.70705137641689975</v>
      </c>
    </row>
    <row r="47" spans="1:52" s="1" customFormat="1" x14ac:dyDescent="0.3">
      <c r="A47" s="11" t="s">
        <v>34</v>
      </c>
      <c r="B47" s="26">
        <v>9.9552796821675768E-2</v>
      </c>
      <c r="C47" s="52">
        <v>0.10075170496936905</v>
      </c>
      <c r="D47" s="89">
        <v>0.10426155384920505</v>
      </c>
      <c r="E47" s="89">
        <v>0.10199435402382223</v>
      </c>
      <c r="F47" s="89">
        <v>0.10635002764091014</v>
      </c>
      <c r="G47" s="89">
        <v>0.1159840251468048</v>
      </c>
      <c r="H47" s="89">
        <v>0.1204257233800172</v>
      </c>
      <c r="I47" s="199">
        <v>0.1307569427180594</v>
      </c>
      <c r="J47" s="89">
        <v>0.1383059488712548</v>
      </c>
      <c r="K47" s="89">
        <v>0.15238945878179719</v>
      </c>
      <c r="L47" s="200">
        <v>0.14949305585055245</v>
      </c>
      <c r="M47" s="220">
        <f>M46/M44</f>
        <v>0.1558300523748033</v>
      </c>
      <c r="N47" s="89">
        <f t="shared" ref="N47" si="63">SUM(C47-B47)/B47</f>
        <v>1.2042937877886387E-2</v>
      </c>
      <c r="O47" s="89">
        <f t="shared" ref="O47" si="64">SUM(D47-C47)/C47</f>
        <v>3.4836620193207352E-2</v>
      </c>
      <c r="P47" s="89">
        <f t="shared" ref="P47" si="65">SUM(E47-D47)/D47</f>
        <v>-2.1745310152023037E-2</v>
      </c>
      <c r="Q47" s="89">
        <f t="shared" ref="Q47" si="66">SUM(F47-E47)/E47</f>
        <v>4.2705046360415042E-2</v>
      </c>
      <c r="R47" s="89">
        <f t="shared" si="1"/>
        <v>9.0587635185425161E-2</v>
      </c>
      <c r="S47" s="89">
        <f t="shared" si="61"/>
        <v>3.8295775884570296E-2</v>
      </c>
      <c r="T47" s="89">
        <f>SUM(I47-H47)/H47</f>
        <v>8.5789140792128432E-2</v>
      </c>
      <c r="U47" s="89">
        <f>SUM(J47-I47)/I47</f>
        <v>5.7733119146665179E-2</v>
      </c>
      <c r="V47" s="89">
        <v>0.10182866337623941</v>
      </c>
      <c r="W47" s="212">
        <f>SUM(L47/K47)-1</f>
        <v>-1.9006583226941154E-2</v>
      </c>
      <c r="X47" s="212">
        <f>SUM(M47/L47)-1</f>
        <v>4.2389905592577604E-2</v>
      </c>
      <c r="AA47" s="52" t="s">
        <v>14</v>
      </c>
      <c r="AB47" s="52"/>
      <c r="AE47" s="52">
        <v>0.53074010622489332</v>
      </c>
      <c r="AF47" s="229">
        <f>SUM(L47/B47)-1</f>
        <v>0.50164596699711317</v>
      </c>
      <c r="AG47" s="216">
        <f t="shared" si="62"/>
        <v>0.56530059777159569</v>
      </c>
    </row>
    <row r="48" spans="1:52" s="1" customFormat="1" x14ac:dyDescent="0.3">
      <c r="A48" s="11"/>
      <c r="B48" s="16"/>
      <c r="I48" s="104"/>
      <c r="L48" s="196" t="s">
        <v>14</v>
      </c>
      <c r="M48" s="126" t="s">
        <v>14</v>
      </c>
      <c r="R48" s="89" t="s">
        <v>14</v>
      </c>
      <c r="S48" s="89" t="s">
        <v>14</v>
      </c>
      <c r="T48" s="89" t="s">
        <v>14</v>
      </c>
      <c r="U48" s="89"/>
      <c r="V48" s="89"/>
      <c r="W48" s="212"/>
      <c r="X48" s="212"/>
      <c r="AA48" s="52" t="s">
        <v>14</v>
      </c>
      <c r="AB48" s="52"/>
      <c r="AE48" s="1" t="s">
        <v>14</v>
      </c>
      <c r="AF48" s="229" t="s">
        <v>14</v>
      </c>
      <c r="AG48" s="216" t="s">
        <v>14</v>
      </c>
    </row>
    <row r="49" spans="1:52" s="1" customFormat="1" x14ac:dyDescent="0.3">
      <c r="A49" s="11" t="s">
        <v>35</v>
      </c>
      <c r="B49" s="25">
        <v>996742</v>
      </c>
      <c r="C49" s="93">
        <v>1123138</v>
      </c>
      <c r="D49" s="93">
        <v>1246250</v>
      </c>
      <c r="E49" s="93">
        <v>1352203.1089999999</v>
      </c>
      <c r="F49" s="93">
        <v>1371612.4580000001</v>
      </c>
      <c r="G49" s="93">
        <v>1504347</v>
      </c>
      <c r="H49" s="93">
        <v>1544200</v>
      </c>
      <c r="I49" s="197">
        <v>1243482.3299999998</v>
      </c>
      <c r="J49" s="93">
        <v>1313612</v>
      </c>
      <c r="K49" s="93">
        <v>1401573</v>
      </c>
      <c r="L49" s="198">
        <v>1628625</v>
      </c>
      <c r="M49" s="127">
        <f>'Independent Groups'!P60</f>
        <v>1724595</v>
      </c>
      <c r="N49" s="89">
        <v>0.1268091441917768</v>
      </c>
      <c r="O49" s="52">
        <v>0.10961431275586797</v>
      </c>
      <c r="P49" s="89">
        <v>8.5017539819458324E-2</v>
      </c>
      <c r="Q49" s="89">
        <f>SUM(F49-E49)/E49</f>
        <v>1.4353871005631716E-2</v>
      </c>
      <c r="R49" s="89">
        <f t="shared" si="1"/>
        <v>9.6772627884661497E-2</v>
      </c>
      <c r="S49" s="89">
        <f t="shared" si="61"/>
        <v>2.6491893160288153E-2</v>
      </c>
      <c r="T49" s="89">
        <f>SUM(I49-H49)/H49</f>
        <v>-0.19474010490869068</v>
      </c>
      <c r="U49" s="89">
        <f>SUM(J49-I49)/I49</f>
        <v>5.6397801808731905E-2</v>
      </c>
      <c r="V49" s="89">
        <v>6.6961172705486863E-2</v>
      </c>
      <c r="W49" s="212">
        <f>SUM(L49/K49)-1</f>
        <v>0.16199798369403529</v>
      </c>
      <c r="X49" s="212">
        <f>SUM(M49/L49)-1</f>
        <v>5.8927008979967832E-2</v>
      </c>
      <c r="Y49" s="52">
        <v>0.35662298669063802</v>
      </c>
      <c r="Z49" s="52">
        <f>SUM(F49-B49)/B49</f>
        <v>0.37609577804487027</v>
      </c>
      <c r="AA49" s="52">
        <f>SUM(G49-B49)/B49</f>
        <v>0.50926418270726026</v>
      </c>
      <c r="AB49" s="52">
        <f>SUM(H49-B49)/B49</f>
        <v>0.54924744818619065</v>
      </c>
      <c r="AC49" s="52">
        <f>SUM(I49-B49)/B49</f>
        <v>0.2475468375968905</v>
      </c>
      <c r="AD49" s="52">
        <f>SUM(J49-B49)/B49</f>
        <v>0.31790573689079021</v>
      </c>
      <c r="AE49" s="52">
        <v>0.4061542505482863</v>
      </c>
      <c r="AF49" s="229">
        <f t="shared" ref="AF49:AF50" si="67">SUM(L49/B49)-1</f>
        <v>0.63394840389990592</v>
      </c>
      <c r="AG49" s="216">
        <f t="shared" si="62"/>
        <v>0.73023209616931961</v>
      </c>
    </row>
    <row r="50" spans="1:52" s="1" customFormat="1" x14ac:dyDescent="0.3">
      <c r="A50" s="11" t="s">
        <v>34</v>
      </c>
      <c r="B50" s="26">
        <v>7.0567423989052913E-2</v>
      </c>
      <c r="C50" s="52">
        <v>7.526149654007179E-2</v>
      </c>
      <c r="D50" s="89">
        <v>7.6168479481571502E-2</v>
      </c>
      <c r="E50" s="89">
        <v>7.7107660168242803E-2</v>
      </c>
      <c r="F50" s="89">
        <v>7.5704106816663494E-2</v>
      </c>
      <c r="G50" s="89">
        <v>8.3000000000000004E-2</v>
      </c>
      <c r="H50" s="89">
        <v>8.4080842624859944E-2</v>
      </c>
      <c r="I50" s="199">
        <v>8.8272135182443728E-2</v>
      </c>
      <c r="J50" s="89">
        <v>9.35891717975426E-2</v>
      </c>
      <c r="K50" s="89">
        <v>0.10616060752062714</v>
      </c>
      <c r="L50" s="200">
        <v>0.1073187269819493</v>
      </c>
      <c r="M50" s="220">
        <f>M49/M44</f>
        <v>0.11195920014702884</v>
      </c>
      <c r="N50" s="89">
        <f t="shared" ref="N50" si="68">SUM(C50-B50)/B50</f>
        <v>6.6518972716746269E-2</v>
      </c>
      <c r="O50" s="89">
        <f t="shared" ref="O50" si="69">SUM(D50-C50)/C50</f>
        <v>1.2051088314684301E-2</v>
      </c>
      <c r="P50" s="89">
        <f t="shared" ref="P50" si="70">SUM(E50-D50)/D50</f>
        <v>1.2330306355905792E-2</v>
      </c>
      <c r="Q50" s="89">
        <f t="shared" ref="Q50" si="71">SUM(F50-E50)/E50</f>
        <v>-1.8202515139440972E-2</v>
      </c>
      <c r="R50" s="89">
        <f t="shared" ref="R50" si="72">SUM(G50-F50)/F50</f>
        <v>9.6373809693116749E-2</v>
      </c>
      <c r="S50" s="89">
        <f t="shared" ref="S50" si="73">SUM(H50-G50)/G50</f>
        <v>1.302220029951735E-2</v>
      </c>
      <c r="T50" s="89">
        <f t="shared" ref="T50" si="74">SUM(I50-H50)/H50</f>
        <v>4.9848365296288742E-2</v>
      </c>
      <c r="U50" s="89">
        <f>SUM(J50-I50)/I50</f>
        <v>6.0234598428025414E-2</v>
      </c>
      <c r="V50" s="89">
        <v>0.13432575031521579</v>
      </c>
      <c r="W50" s="212">
        <f>SUM(L50/K50)-1</f>
        <v>1.090912616619244E-2</v>
      </c>
      <c r="X50" s="212">
        <f>SUM(M50/L50)-1</f>
        <v>4.324010632235753E-2</v>
      </c>
      <c r="AA50" s="52" t="s">
        <v>14</v>
      </c>
      <c r="AB50" s="52"/>
      <c r="AE50" s="52">
        <v>0.50438547306326187</v>
      </c>
      <c r="AF50" s="229">
        <f t="shared" si="67"/>
        <v>0.5207970039914962</v>
      </c>
      <c r="AG50" s="216">
        <f t="shared" si="62"/>
        <v>0.58655642813881115</v>
      </c>
    </row>
    <row r="51" spans="1:52" s="1" customFormat="1" x14ac:dyDescent="0.3">
      <c r="A51" s="11"/>
      <c r="B51" s="16"/>
      <c r="I51" s="104"/>
      <c r="L51" s="196" t="s">
        <v>14</v>
      </c>
      <c r="M51" s="126" t="s">
        <v>14</v>
      </c>
      <c r="R51" s="89" t="s">
        <v>14</v>
      </c>
      <c r="S51" s="89"/>
      <c r="T51" s="89" t="s">
        <v>14</v>
      </c>
      <c r="U51" s="89"/>
      <c r="V51" s="89"/>
      <c r="W51" s="212"/>
      <c r="X51" s="212"/>
      <c r="AA51" s="52" t="s">
        <v>14</v>
      </c>
      <c r="AB51" s="52"/>
      <c r="AE51" s="1" t="s">
        <v>14</v>
      </c>
      <c r="AF51" s="229" t="s">
        <v>14</v>
      </c>
      <c r="AG51" s="216" t="s">
        <v>14</v>
      </c>
    </row>
    <row r="52" spans="1:52" s="1" customFormat="1" x14ac:dyDescent="0.3">
      <c r="A52" s="11" t="s">
        <v>36</v>
      </c>
      <c r="B52" s="16">
        <v>582731</v>
      </c>
      <c r="C52" s="1">
        <v>658305</v>
      </c>
      <c r="D52" s="1">
        <v>762053</v>
      </c>
      <c r="E52" s="1">
        <v>796946</v>
      </c>
      <c r="F52" s="1">
        <v>845137</v>
      </c>
      <c r="G52" s="1">
        <v>924201</v>
      </c>
      <c r="H52" s="1">
        <v>932664</v>
      </c>
      <c r="I52" s="105">
        <v>705634</v>
      </c>
      <c r="J52" s="92">
        <v>766191</v>
      </c>
      <c r="K52" s="92">
        <v>810982</v>
      </c>
      <c r="L52" s="201">
        <v>987628</v>
      </c>
      <c r="M52" s="128">
        <f>'Independent Groups'!P61</f>
        <v>1000451</v>
      </c>
      <c r="N52" s="89">
        <f t="shared" ref="N52" si="75">SUM(C52-B52)/B52</f>
        <v>0.12968934208065128</v>
      </c>
      <c r="O52" s="89">
        <f t="shared" ref="O52" si="76">SUM(D52-C52)/C52</f>
        <v>0.15759868146224015</v>
      </c>
      <c r="P52" s="89">
        <f t="shared" ref="P52" si="77">SUM(E52-D52)/D52</f>
        <v>4.5788153842318054E-2</v>
      </c>
      <c r="Q52" s="89">
        <f t="shared" ref="Q52" si="78">SUM(F52-E52)/E52</f>
        <v>6.0469592670017794E-2</v>
      </c>
      <c r="R52" s="89">
        <f t="shared" ref="R52" si="79">SUM(G52-F52)/F52</f>
        <v>9.3551696352189059E-2</v>
      </c>
      <c r="S52" s="89">
        <f t="shared" ref="S52" si="80">SUM(H52-G52)/G52</f>
        <v>9.1570989427624504E-3</v>
      </c>
      <c r="T52" s="89">
        <f>SUM(I52-H52)/H52</f>
        <v>-0.24342099620013211</v>
      </c>
      <c r="U52" s="89">
        <f>SUM(J52-I52)/I52</f>
        <v>8.5819277415770778E-2</v>
      </c>
      <c r="V52" s="89">
        <v>5.8459313669829066E-2</v>
      </c>
      <c r="W52" s="212">
        <f>SUM(L52/K52)-1</f>
        <v>0.21781741148385536</v>
      </c>
      <c r="X52" s="212">
        <f>SUM(M52/L52)-1</f>
        <v>1.2983633513833137E-2</v>
      </c>
      <c r="Y52" s="52">
        <f>SUM(E52-B52)/B52</f>
        <v>0.36760529300826628</v>
      </c>
      <c r="Z52" s="52">
        <f>SUM(F52-B52)/B52</f>
        <v>0.45030382800983643</v>
      </c>
      <c r="AA52" s="52">
        <f>SUM(G52-B52)/B52</f>
        <v>0.58598221134623008</v>
      </c>
      <c r="AB52" s="52">
        <f>SUM(H52-B52)/B52</f>
        <v>0.60050520737698865</v>
      </c>
      <c r="AC52" s="52">
        <f>SUM(I52-B52)/B52</f>
        <v>0.2109086353737831</v>
      </c>
      <c r="AD52" s="52">
        <f>SUM(J52-B52)/B52</f>
        <v>0.31482793947807824</v>
      </c>
      <c r="AE52" s="52">
        <v>0.3916918784138822</v>
      </c>
      <c r="AF52" s="229">
        <f t="shared" ref="AF52:AF53" si="81">SUM(L52/B52)-1</f>
        <v>0.69482660095309834</v>
      </c>
      <c r="AG52" s="216">
        <f t="shared" si="62"/>
        <v>0.71683160840936888</v>
      </c>
    </row>
    <row r="53" spans="1:52" s="1" customFormat="1" x14ac:dyDescent="0.3">
      <c r="A53" s="11" t="s">
        <v>34</v>
      </c>
      <c r="B53" s="26">
        <v>4.125623837318463E-2</v>
      </c>
      <c r="C53" s="52">
        <v>4.4113029280294994E-2</v>
      </c>
      <c r="D53" s="52">
        <v>4.6575260416746249E-2</v>
      </c>
      <c r="E53" s="52">
        <v>4.5444830685151476E-2</v>
      </c>
      <c r="F53" s="52">
        <v>4.6646078015364988E-2</v>
      </c>
      <c r="G53" s="52">
        <v>5.0774045140505562E-2</v>
      </c>
      <c r="H53" s="52">
        <v>5.078304300341431E-2</v>
      </c>
      <c r="I53" s="202">
        <v>5.009143944757824E-2</v>
      </c>
      <c r="J53" s="52">
        <v>5.4587793906215043E-2</v>
      </c>
      <c r="K53" s="52">
        <v>6.1426940878779229E-2</v>
      </c>
      <c r="L53" s="203">
        <v>6.5348900699351037E-2</v>
      </c>
      <c r="M53" s="221">
        <f>M52/M44</f>
        <v>6.4948404550804764E-2</v>
      </c>
      <c r="N53" s="89">
        <f t="shared" ref="N53" si="82">SUM(C53-B53)/B53</f>
        <v>6.9245064983122551E-2</v>
      </c>
      <c r="O53" s="89">
        <f t="shared" ref="O53" si="83">SUM(D53-C53)/C53</f>
        <v>5.5816414710633304E-2</v>
      </c>
      <c r="P53" s="89">
        <f t="shared" ref="P53" si="84">SUM(E53-D53)/D53</f>
        <v>-2.4271034052840729E-2</v>
      </c>
      <c r="Q53" s="89">
        <f t="shared" ref="Q53" si="85">SUM(F53-E53)/E53</f>
        <v>2.6433090675063383E-2</v>
      </c>
      <c r="R53" s="89">
        <f t="shared" ref="R53" si="86">SUM(G53-F53)/F53</f>
        <v>8.8495481308864657E-2</v>
      </c>
      <c r="S53" s="89">
        <f t="shared" ref="S53" si="87">SUM(H53-G53)/G53</f>
        <v>1.7721382812514882E-4</v>
      </c>
      <c r="T53" s="89">
        <f t="shared" ref="T53" si="88">SUM(I53-H53)/H53</f>
        <v>-1.3618789165304093E-2</v>
      </c>
      <c r="U53" s="89">
        <f>SUM(J53-I53)/I53</f>
        <v>8.9762931714955682E-2</v>
      </c>
      <c r="V53" s="89">
        <v>0.12528711060048026</v>
      </c>
      <c r="W53" s="212">
        <f>SUM(L53/K53)-1</f>
        <v>6.3847552303010868E-2</v>
      </c>
      <c r="X53" s="212">
        <f>SUM(M53/L53)-1</f>
        <v>-6.1285827957355821E-3</v>
      </c>
      <c r="AA53" s="52"/>
      <c r="AB53" s="52"/>
      <c r="AE53" s="52">
        <v>0.48891278751930467</v>
      </c>
      <c r="AF53" s="229">
        <f t="shared" si="81"/>
        <v>0.58397622459506504</v>
      </c>
      <c r="AG53" s="216">
        <f t="shared" si="62"/>
        <v>0.57426869515615753</v>
      </c>
    </row>
    <row r="54" spans="1:52" s="1" customFormat="1" x14ac:dyDescent="0.3">
      <c r="A54" s="11"/>
      <c r="B54" s="16"/>
      <c r="I54" s="104"/>
      <c r="L54" s="196" t="s">
        <v>14</v>
      </c>
      <c r="M54" s="126"/>
      <c r="R54" s="89"/>
      <c r="S54" s="89"/>
      <c r="T54" s="89"/>
      <c r="U54" s="89"/>
      <c r="V54" s="89"/>
      <c r="W54" s="212"/>
      <c r="X54" s="212"/>
      <c r="AA54" s="52"/>
      <c r="AB54" s="52"/>
      <c r="AE54" s="1" t="s">
        <v>14</v>
      </c>
      <c r="AF54" s="229" t="s">
        <v>14</v>
      </c>
      <c r="AG54" s="216" t="s">
        <v>14</v>
      </c>
    </row>
    <row r="55" spans="1:52" s="1" customFormat="1" x14ac:dyDescent="0.3">
      <c r="A55" s="11" t="s">
        <v>37</v>
      </c>
      <c r="B55" s="25">
        <v>409409</v>
      </c>
      <c r="C55" s="93">
        <v>380394</v>
      </c>
      <c r="D55" s="92">
        <v>459652</v>
      </c>
      <c r="E55" s="92">
        <v>436427</v>
      </c>
      <c r="F55" s="92">
        <v>555245</v>
      </c>
      <c r="G55" s="92">
        <v>606821</v>
      </c>
      <c r="H55" s="92">
        <v>667497.65</v>
      </c>
      <c r="I55" s="105">
        <v>598480</v>
      </c>
      <c r="J55" s="92">
        <v>627643</v>
      </c>
      <c r="K55" s="92">
        <v>610331</v>
      </c>
      <c r="L55" s="201">
        <v>630686.57499999995</v>
      </c>
      <c r="M55" s="128">
        <f>'Independent Groups'!P62</f>
        <v>646623</v>
      </c>
      <c r="N55" s="89">
        <v>-7.0870449843554978E-2</v>
      </c>
      <c r="O55" s="52">
        <v>0.20835765022581842</v>
      </c>
      <c r="P55" s="89">
        <v>-5.0527355477622202E-2</v>
      </c>
      <c r="Q55" s="89">
        <f>SUM(F55-E55)/E55</f>
        <v>0.27225171678195897</v>
      </c>
      <c r="R55" s="89">
        <f t="shared" si="1"/>
        <v>9.2888724797161606E-2</v>
      </c>
      <c r="S55" s="89">
        <f t="shared" ref="S55" si="89">SUM(H55-G55)/G55</f>
        <v>9.9991018768302381E-2</v>
      </c>
      <c r="T55" s="89">
        <f t="shared" ref="T55:T56" si="90">SUM(I55-H55)/H55</f>
        <v>-0.10339759248590616</v>
      </c>
      <c r="U55" s="89">
        <f>SUM(J55-I55)/I55</f>
        <v>4.8728445395000666E-2</v>
      </c>
      <c r="V55" s="89">
        <v>-2.7582558875029275E-2</v>
      </c>
      <c r="W55" s="212">
        <f>SUM(L55/K55)-1</f>
        <v>3.3351697685354287E-2</v>
      </c>
      <c r="X55" s="212">
        <f>SUM(M55/L55)-1</f>
        <v>2.5268375183029823E-2</v>
      </c>
      <c r="Y55" s="52">
        <v>6.5992687019581886E-2</v>
      </c>
      <c r="Z55" s="52">
        <f>SUM(F55-B55)/B55</f>
        <v>0.35621102613767652</v>
      </c>
      <c r="AA55" s="52">
        <f>SUM(G55-B55)/B55</f>
        <v>0.48218773891145528</v>
      </c>
      <c r="AB55" s="52">
        <f>SUM(H55-B55)/B55</f>
        <v>0.6303932009310983</v>
      </c>
      <c r="AC55" s="52">
        <f>SUM(I55-B55)/B55</f>
        <v>0.46181446914943247</v>
      </c>
      <c r="AD55" s="52">
        <f>SUM(J55-B55)/B55</f>
        <v>0.53304641568700251</v>
      </c>
      <c r="AE55" s="52">
        <v>0.49076107266816316</v>
      </c>
      <c r="AF55" s="229">
        <f t="shared" ref="AF55:AF56" si="91">SUM(L55/B55)-1</f>
        <v>0.54048048528488613</v>
      </c>
      <c r="AG55" s="216">
        <f t="shared" si="62"/>
        <v>0.57940592414920045</v>
      </c>
    </row>
    <row r="56" spans="1:52" s="1" customFormat="1" ht="15" thickBot="1" x14ac:dyDescent="0.35">
      <c r="A56" s="11" t="s">
        <v>34</v>
      </c>
      <c r="B56" s="204">
        <v>2.8985372832622851E-2</v>
      </c>
      <c r="C56" s="205">
        <v>2.5490208429297261E-2</v>
      </c>
      <c r="D56" s="205">
        <v>2.8093074367633544E-2</v>
      </c>
      <c r="E56" s="205">
        <v>2.4886693855579428E-2</v>
      </c>
      <c r="F56" s="205">
        <v>3.0645920824246643E-2</v>
      </c>
      <c r="G56" s="205">
        <v>3.3337722904656808E-2</v>
      </c>
      <c r="H56" s="205">
        <v>3.6344880755157266E-2</v>
      </c>
      <c r="I56" s="206">
        <v>4.2484807535615669E-2</v>
      </c>
      <c r="J56" s="205">
        <v>4.4716848319385806E-2</v>
      </c>
      <c r="K56" s="205">
        <v>4.6228851261170045E-2</v>
      </c>
      <c r="L56" s="207">
        <v>4.1730969921963339E-2</v>
      </c>
      <c r="M56" s="222">
        <f>M55/M44</f>
        <v>4.1978200027642562E-2</v>
      </c>
      <c r="N56" s="38">
        <f t="shared" ref="N56" si="92">SUM(C56-B56)/B56</f>
        <v>-0.12058373109459558</v>
      </c>
      <c r="O56" s="38">
        <f t="shared" ref="O56" si="93">SUM(D56-C56)/C56</f>
        <v>0.10211238348858183</v>
      </c>
      <c r="P56" s="38">
        <f t="shared" ref="P56" si="94">SUM(E56-D56)/D56</f>
        <v>-0.1141341979910976</v>
      </c>
      <c r="Q56" s="38">
        <f t="shared" ref="Q56" si="95">SUM(F56-E56)/E56</f>
        <v>0.23141792164474412</v>
      </c>
      <c r="R56" s="38">
        <f t="shared" ref="R56" si="96">SUM(G56-F56)/F56</f>
        <v>8.7835575111205239E-2</v>
      </c>
      <c r="S56" s="38">
        <f t="shared" ref="S56" si="97">SUM(H56-G56)/G56</f>
        <v>9.0202856958787686E-2</v>
      </c>
      <c r="T56" s="38">
        <f t="shared" si="90"/>
        <v>0.16893511968909569</v>
      </c>
      <c r="U56" s="38">
        <f>SUM(J56-I56)/I56</f>
        <v>5.253738720362526E-2</v>
      </c>
      <c r="V56" s="38">
        <v>3.3812824441134648E-2</v>
      </c>
      <c r="W56" s="213">
        <f>SUM(L56/K56)-1</f>
        <v>-9.7295978950372564E-2</v>
      </c>
      <c r="X56" s="213">
        <f>SUM(M56/L56)-1</f>
        <v>5.9243795708927571E-3</v>
      </c>
      <c r="Y56" s="29"/>
      <c r="Z56" s="29"/>
      <c r="AA56" s="29"/>
      <c r="AB56" s="29"/>
      <c r="AC56" s="29"/>
      <c r="AD56" s="29"/>
      <c r="AE56" s="29"/>
      <c r="AF56" s="230">
        <f t="shared" si="91"/>
        <v>0.43972513870842467</v>
      </c>
      <c r="AG56" s="225">
        <f t="shared" si="62"/>
        <v>0.44825461690788981</v>
      </c>
      <c r="AI56" s="492" t="s">
        <v>414</v>
      </c>
      <c r="AJ56" s="492"/>
      <c r="AK56" s="2"/>
    </row>
    <row r="57" spans="1:52" s="1" customFormat="1" x14ac:dyDescent="0.3">
      <c r="A57" s="11"/>
      <c r="B57" s="22"/>
      <c r="C57" s="23"/>
      <c r="D57" s="23"/>
      <c r="E57" s="23"/>
      <c r="F57" s="23"/>
      <c r="G57" s="23"/>
      <c r="H57" s="23"/>
      <c r="I57" s="106"/>
      <c r="J57" s="23"/>
      <c r="K57" s="23"/>
      <c r="L57" s="23"/>
      <c r="M57" s="23"/>
      <c r="N57" s="23"/>
      <c r="O57" s="23" t="s">
        <v>14</v>
      </c>
      <c r="P57" s="23"/>
      <c r="Q57" s="23"/>
      <c r="R57" s="129" t="s">
        <v>14</v>
      </c>
      <c r="S57" s="129"/>
      <c r="T57" s="129" t="s">
        <v>14</v>
      </c>
      <c r="U57" s="129"/>
      <c r="V57" s="129"/>
      <c r="W57" s="129"/>
      <c r="X57" s="129"/>
      <c r="Y57" s="23"/>
      <c r="Z57" s="23"/>
      <c r="AA57" s="23"/>
      <c r="AB57" s="23"/>
      <c r="AC57" s="23"/>
      <c r="AD57" s="23"/>
      <c r="AE57" s="23"/>
      <c r="AF57" s="23"/>
      <c r="AG57" s="130"/>
      <c r="AI57" s="108" t="s">
        <v>146</v>
      </c>
      <c r="AJ57" s="2">
        <v>1</v>
      </c>
      <c r="AK57" s="96">
        <f>AJ57/50</f>
        <v>0.02</v>
      </c>
    </row>
    <row r="58" spans="1:52" s="1" customFormat="1" ht="15" thickBot="1" x14ac:dyDescent="0.35">
      <c r="A58" s="27"/>
      <c r="B58" s="28"/>
      <c r="C58" s="29"/>
      <c r="D58" s="29"/>
      <c r="E58" s="29"/>
      <c r="F58" s="29"/>
      <c r="G58" s="29" t="s">
        <v>14</v>
      </c>
      <c r="H58" s="29"/>
      <c r="I58" s="85"/>
      <c r="J58" s="29"/>
      <c r="K58" s="29" t="s">
        <v>14</v>
      </c>
      <c r="L58" s="29" t="s">
        <v>14</v>
      </c>
      <c r="M58" s="29"/>
      <c r="N58" s="29"/>
      <c r="O58" s="29"/>
      <c r="P58" s="29"/>
      <c r="Q58" s="29"/>
      <c r="R58" s="38" t="s">
        <v>14</v>
      </c>
      <c r="S58" s="38"/>
      <c r="T58" s="38" t="s">
        <v>14</v>
      </c>
      <c r="U58" s="38"/>
      <c r="V58" s="38"/>
      <c r="W58" s="38"/>
      <c r="X58" s="38"/>
      <c r="Y58" s="29"/>
      <c r="Z58" s="29"/>
      <c r="AA58" s="29"/>
      <c r="AB58" s="29"/>
      <c r="AC58" s="29"/>
      <c r="AD58" s="29"/>
      <c r="AE58" s="29"/>
      <c r="AF58" s="29"/>
      <c r="AG58" s="131"/>
      <c r="AH58"/>
      <c r="AI58" s="2" t="s">
        <v>78</v>
      </c>
      <c r="AJ58" s="177">
        <v>1</v>
      </c>
      <c r="AK58" s="96">
        <f t="shared" ref="AK58:AK63" si="98">AJ58/50</f>
        <v>0.02</v>
      </c>
      <c r="AM58"/>
      <c r="AN58"/>
      <c r="AO58"/>
      <c r="AP58"/>
      <c r="AQ58"/>
      <c r="AR58"/>
      <c r="AS58"/>
      <c r="AT58"/>
      <c r="AU58"/>
      <c r="AV58"/>
      <c r="AW58"/>
      <c r="AX58"/>
      <c r="AY58"/>
      <c r="AZ58"/>
    </row>
    <row r="59" spans="1:52" ht="28.8" x14ac:dyDescent="0.3">
      <c r="A59" s="379" t="s">
        <v>398</v>
      </c>
      <c r="G59" t="s">
        <v>14</v>
      </c>
      <c r="AI59" s="2" t="s">
        <v>415</v>
      </c>
      <c r="AJ59" s="2">
        <v>1</v>
      </c>
      <c r="AK59" s="96">
        <f t="shared" si="98"/>
        <v>0.02</v>
      </c>
      <c r="AL59" s="1"/>
      <c r="AM59" s="232"/>
    </row>
    <row r="60" spans="1:52" ht="28.8" x14ac:dyDescent="0.3">
      <c r="A60" s="379" t="s">
        <v>405</v>
      </c>
      <c r="I60" t="s">
        <v>14</v>
      </c>
      <c r="AI60" s="108" t="s">
        <v>412</v>
      </c>
      <c r="AJ60" s="144">
        <v>1</v>
      </c>
      <c r="AK60" s="96">
        <f t="shared" si="98"/>
        <v>0.02</v>
      </c>
      <c r="AL60" s="1"/>
    </row>
    <row r="61" spans="1:52" x14ac:dyDescent="0.3">
      <c r="A61" s="3" t="s">
        <v>513</v>
      </c>
      <c r="G61" t="s">
        <v>14</v>
      </c>
      <c r="I61" t="s">
        <v>14</v>
      </c>
      <c r="AI61" s="108" t="s">
        <v>413</v>
      </c>
      <c r="AJ61" s="2">
        <v>1</v>
      </c>
      <c r="AK61" s="96">
        <f t="shared" si="98"/>
        <v>0.02</v>
      </c>
      <c r="AL61" s="1"/>
    </row>
    <row r="62" spans="1:52" x14ac:dyDescent="0.3">
      <c r="A62"/>
      <c r="G62" t="s">
        <v>14</v>
      </c>
      <c r="AI62" s="108" t="s">
        <v>86</v>
      </c>
      <c r="AJ62" s="2">
        <v>11</v>
      </c>
      <c r="AK62" s="96">
        <f t="shared" si="98"/>
        <v>0.22</v>
      </c>
      <c r="AL62" s="1">
        <v>0.2</v>
      </c>
    </row>
    <row r="63" spans="1:52" x14ac:dyDescent="0.3">
      <c r="AI63" s="141" t="s">
        <v>79</v>
      </c>
      <c r="AJ63" s="2">
        <v>9</v>
      </c>
      <c r="AK63" s="96">
        <f t="shared" si="98"/>
        <v>0.18</v>
      </c>
      <c r="AL63" s="1">
        <v>0.16</v>
      </c>
    </row>
    <row r="64" spans="1:52" x14ac:dyDescent="0.3">
      <c r="AI64" s="141" t="s">
        <v>99</v>
      </c>
      <c r="AJ64" s="2">
        <v>2</v>
      </c>
      <c r="AK64" s="96">
        <f t="shared" ref="AK64:AK73" si="99">AJ64/50</f>
        <v>0.04</v>
      </c>
      <c r="AL64" s="1"/>
    </row>
    <row r="65" spans="35:39" x14ac:dyDescent="0.3">
      <c r="AI65" s="143" t="s">
        <v>68</v>
      </c>
      <c r="AJ65" s="2">
        <v>3</v>
      </c>
      <c r="AK65" s="96">
        <f t="shared" si="99"/>
        <v>0.06</v>
      </c>
      <c r="AL65" s="1">
        <v>0.1</v>
      </c>
      <c r="AM65" s="234">
        <f>AK65+AK58</f>
        <v>0.08</v>
      </c>
    </row>
    <row r="66" spans="35:39" x14ac:dyDescent="0.3">
      <c r="AI66" s="141" t="s">
        <v>73</v>
      </c>
      <c r="AJ66" s="2">
        <v>2</v>
      </c>
      <c r="AK66" s="96">
        <f t="shared" si="99"/>
        <v>0.04</v>
      </c>
      <c r="AL66" s="1">
        <v>0.12</v>
      </c>
      <c r="AM66" s="234">
        <f>AK66+AK61+AK60+AK70</f>
        <v>0.12</v>
      </c>
    </row>
    <row r="67" spans="35:39" x14ac:dyDescent="0.3">
      <c r="AI67" s="141" t="s">
        <v>91</v>
      </c>
      <c r="AJ67" s="2">
        <v>1</v>
      </c>
      <c r="AK67" s="96">
        <f t="shared" si="99"/>
        <v>0.02</v>
      </c>
      <c r="AL67" s="1"/>
    </row>
    <row r="68" spans="35:39" x14ac:dyDescent="0.3">
      <c r="AI68" s="235" t="s">
        <v>497</v>
      </c>
      <c r="AJ68" s="236">
        <v>1</v>
      </c>
      <c r="AK68" s="237">
        <f t="shared" si="99"/>
        <v>0.02</v>
      </c>
      <c r="AL68" s="1"/>
    </row>
    <row r="69" spans="35:39" x14ac:dyDescent="0.3">
      <c r="AI69" s="141" t="s">
        <v>111</v>
      </c>
      <c r="AJ69" s="2">
        <v>1</v>
      </c>
      <c r="AK69" s="96">
        <f t="shared" si="99"/>
        <v>0.02</v>
      </c>
      <c r="AL69" s="1"/>
    </row>
    <row r="70" spans="35:39" x14ac:dyDescent="0.3">
      <c r="AI70" s="108" t="s">
        <v>75</v>
      </c>
      <c r="AJ70" s="2">
        <v>2</v>
      </c>
      <c r="AK70" s="96">
        <f t="shared" si="99"/>
        <v>0.04</v>
      </c>
      <c r="AL70" s="1"/>
    </row>
    <row r="71" spans="35:39" x14ac:dyDescent="0.3">
      <c r="AI71" s="141" t="s">
        <v>55</v>
      </c>
      <c r="AJ71" s="177">
        <v>3</v>
      </c>
      <c r="AK71" s="96">
        <f t="shared" si="99"/>
        <v>0.06</v>
      </c>
      <c r="AL71" s="1"/>
    </row>
    <row r="72" spans="35:39" x14ac:dyDescent="0.3">
      <c r="AI72" s="141" t="s">
        <v>61</v>
      </c>
      <c r="AJ72" s="2">
        <v>7</v>
      </c>
      <c r="AK72" s="96">
        <f t="shared" si="99"/>
        <v>0.14000000000000001</v>
      </c>
      <c r="AL72" s="1">
        <v>0.18</v>
      </c>
    </row>
    <row r="73" spans="35:39" x14ac:dyDescent="0.3">
      <c r="AI73" s="141" t="s">
        <v>59</v>
      </c>
      <c r="AJ73" s="177">
        <v>3</v>
      </c>
      <c r="AK73" s="96">
        <f t="shared" si="99"/>
        <v>0.06</v>
      </c>
      <c r="AL73" s="1"/>
    </row>
    <row r="75" spans="35:39" x14ac:dyDescent="0.3">
      <c r="AJ75">
        <f>SUM(AJ57:AJ73)</f>
        <v>50</v>
      </c>
      <c r="AK75" s="233" t="s">
        <v>14</v>
      </c>
    </row>
    <row r="76" spans="35:39" x14ac:dyDescent="0.3">
      <c r="AK76" s="234" t="s">
        <v>14</v>
      </c>
    </row>
  </sheetData>
  <sortState xmlns:xlrd2="http://schemas.microsoft.com/office/spreadsheetml/2017/richdata2" ref="AI57:AI73">
    <sortCondition ref="AI57:AI73"/>
  </sortState>
  <mergeCells count="1">
    <mergeCell ref="AI56:AJ5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4"/>
  <sheetViews>
    <sheetView topLeftCell="A9" zoomScale="84" zoomScaleNormal="84" workbookViewId="0">
      <selection activeCell="E12" sqref="E12"/>
    </sheetView>
  </sheetViews>
  <sheetFormatPr defaultColWidth="9.21875" defaultRowHeight="14.4" x14ac:dyDescent="0.3"/>
  <cols>
    <col min="2" max="3" width="10.21875" style="114" customWidth="1"/>
    <col min="4" max="4" width="27.21875" style="114" customWidth="1"/>
    <col min="5" max="6" width="18.21875" style="114" customWidth="1"/>
    <col min="7" max="7" width="31" style="114" customWidth="1"/>
    <col min="8" max="8" width="11.77734375" style="114" customWidth="1"/>
    <col min="9" max="9" width="14.21875" style="114" customWidth="1"/>
    <col min="10" max="10" width="12.77734375" style="114" customWidth="1"/>
    <col min="11" max="11" width="8.44140625" style="114" customWidth="1"/>
    <col min="12" max="13" width="8.21875" style="115" customWidth="1"/>
    <col min="14" max="14" width="10.44140625" style="107" customWidth="1"/>
    <col min="15" max="15" width="10.77734375" style="369" customWidth="1"/>
    <col min="16" max="16" width="11.21875" style="369" customWidth="1"/>
    <col min="17" max="17" width="9.21875" style="369"/>
    <col min="18" max="18" width="11.5546875" style="369" bestFit="1" customWidth="1"/>
    <col min="19" max="19" width="11" style="114" customWidth="1"/>
    <col min="20" max="20" width="17.77734375" style="114" customWidth="1"/>
    <col min="21" max="21" width="34.77734375" customWidth="1"/>
  </cols>
  <sheetData>
    <row r="1" spans="1:21" x14ac:dyDescent="0.3">
      <c r="A1" s="240"/>
      <c r="B1" s="241" t="s">
        <v>432</v>
      </c>
      <c r="C1" s="241"/>
      <c r="D1" s="242"/>
      <c r="E1" s="243"/>
      <c r="F1" s="243"/>
      <c r="G1" s="244" t="s">
        <v>435</v>
      </c>
      <c r="H1" s="245"/>
      <c r="I1" s="245"/>
      <c r="J1" s="245"/>
      <c r="K1" s="246" t="s">
        <v>14</v>
      </c>
      <c r="L1" s="247"/>
      <c r="M1" s="247"/>
      <c r="N1" s="248"/>
      <c r="O1" s="354"/>
      <c r="P1" s="354"/>
      <c r="Q1" s="354"/>
      <c r="R1" s="354"/>
      <c r="S1" s="245"/>
      <c r="T1" s="245"/>
      <c r="U1" s="249" t="s">
        <v>14</v>
      </c>
    </row>
    <row r="2" spans="1:21" ht="58.2" thickBot="1" x14ac:dyDescent="0.35">
      <c r="A2" s="250" t="s">
        <v>433</v>
      </c>
      <c r="B2" s="251" t="s">
        <v>434</v>
      </c>
      <c r="C2" s="251" t="s">
        <v>416</v>
      </c>
      <c r="D2" s="140" t="s">
        <v>38</v>
      </c>
      <c r="E2" s="252" t="s">
        <v>39</v>
      </c>
      <c r="F2" s="251" t="s">
        <v>419</v>
      </c>
      <c r="G2" s="251" t="s">
        <v>40</v>
      </c>
      <c r="H2" s="251" t="s">
        <v>41</v>
      </c>
      <c r="I2" s="251" t="s">
        <v>42</v>
      </c>
      <c r="J2" s="251" t="s">
        <v>406</v>
      </c>
      <c r="K2" s="252" t="s">
        <v>43</v>
      </c>
      <c r="L2" s="253" t="s">
        <v>44</v>
      </c>
      <c r="M2" s="253" t="s">
        <v>45</v>
      </c>
      <c r="N2" s="251" t="s">
        <v>46</v>
      </c>
      <c r="O2" s="355" t="s">
        <v>47</v>
      </c>
      <c r="P2" s="355" t="s">
        <v>48</v>
      </c>
      <c r="Q2" s="355" t="s">
        <v>49</v>
      </c>
      <c r="R2" s="355" t="s">
        <v>50</v>
      </c>
      <c r="S2" s="252" t="s">
        <v>51</v>
      </c>
      <c r="T2" s="252" t="s">
        <v>52</v>
      </c>
      <c r="U2" s="252" t="s">
        <v>53</v>
      </c>
    </row>
    <row r="3" spans="1:21" ht="115.2" x14ac:dyDescent="0.3">
      <c r="A3" s="254">
        <v>1</v>
      </c>
      <c r="B3" s="255">
        <v>1</v>
      </c>
      <c r="C3" s="256">
        <f t="shared" ref="C3:C15" si="0">A3-B3</f>
        <v>0</v>
      </c>
      <c r="D3" s="109" t="s">
        <v>54</v>
      </c>
      <c r="E3" s="257" t="s">
        <v>55</v>
      </c>
      <c r="F3" s="109" t="s">
        <v>505</v>
      </c>
      <c r="G3" s="110" t="s">
        <v>504</v>
      </c>
      <c r="H3" s="110">
        <v>53</v>
      </c>
      <c r="I3" s="258">
        <v>1049</v>
      </c>
      <c r="J3" s="259" t="s">
        <v>56</v>
      </c>
      <c r="K3" s="259" t="s">
        <v>57</v>
      </c>
      <c r="L3" s="259" t="s">
        <v>57</v>
      </c>
      <c r="M3" s="259" t="s">
        <v>57</v>
      </c>
      <c r="N3" s="260">
        <v>18.100000000000001</v>
      </c>
      <c r="O3" s="370">
        <v>150000</v>
      </c>
      <c r="P3" s="356">
        <v>283000</v>
      </c>
      <c r="Q3" s="356">
        <v>195000</v>
      </c>
      <c r="R3" s="357">
        <v>640000</v>
      </c>
      <c r="S3" s="261">
        <v>2024</v>
      </c>
      <c r="T3" s="109" t="s">
        <v>550</v>
      </c>
      <c r="U3" s="262" t="s">
        <v>551</v>
      </c>
    </row>
    <row r="4" spans="1:21" ht="72" x14ac:dyDescent="0.3">
      <c r="A4" s="239">
        <v>2</v>
      </c>
      <c r="B4" s="263">
        <f t="shared" ref="B4:B20" si="1">B3+1</f>
        <v>2</v>
      </c>
      <c r="C4" s="256">
        <f t="shared" si="0"/>
        <v>0</v>
      </c>
      <c r="D4" s="109" t="s">
        <v>58</v>
      </c>
      <c r="E4" s="257" t="s">
        <v>59</v>
      </c>
      <c r="F4" s="108" t="s">
        <v>553</v>
      </c>
      <c r="G4" s="108" t="s">
        <v>442</v>
      </c>
      <c r="H4" s="108">
        <v>19</v>
      </c>
      <c r="I4" s="108">
        <v>186</v>
      </c>
      <c r="J4" s="259" t="s">
        <v>56</v>
      </c>
      <c r="K4" s="259"/>
      <c r="L4" s="259" t="s">
        <v>57</v>
      </c>
      <c r="M4" s="259"/>
      <c r="N4" s="264">
        <v>10.225</v>
      </c>
      <c r="O4" s="265"/>
      <c r="P4" s="266">
        <f>85042+11860+9219</f>
        <v>106121</v>
      </c>
      <c r="Q4" s="266">
        <f>118895+10623+10149</f>
        <v>139667</v>
      </c>
      <c r="R4" s="267">
        <f>O4+P4+Q4</f>
        <v>245788</v>
      </c>
      <c r="S4" s="257">
        <v>2024</v>
      </c>
      <c r="T4" s="109" t="s">
        <v>509</v>
      </c>
      <c r="U4" s="262" t="s">
        <v>552</v>
      </c>
    </row>
    <row r="5" spans="1:21" s="1" customFormat="1" ht="100.8" x14ac:dyDescent="0.3">
      <c r="A5" s="239">
        <v>3</v>
      </c>
      <c r="B5" s="263">
        <f t="shared" si="1"/>
        <v>3</v>
      </c>
      <c r="C5" s="256">
        <f t="shared" si="0"/>
        <v>0</v>
      </c>
      <c r="D5" s="108" t="s">
        <v>76</v>
      </c>
      <c r="E5" s="108" t="s">
        <v>75</v>
      </c>
      <c r="F5" s="108" t="s">
        <v>444</v>
      </c>
      <c r="G5" s="108" t="s">
        <v>450</v>
      </c>
      <c r="H5" s="108">
        <v>49</v>
      </c>
      <c r="I5" s="108">
        <f>384+28+124+1+16+60+142+15+34+46</f>
        <v>850</v>
      </c>
      <c r="J5" s="268" t="s">
        <v>56</v>
      </c>
      <c r="K5" s="268" t="s">
        <v>57</v>
      </c>
      <c r="L5" s="268" t="s">
        <v>57</v>
      </c>
      <c r="M5" s="268" t="s">
        <v>57</v>
      </c>
      <c r="N5" s="269">
        <v>8.0670000000000002</v>
      </c>
      <c r="O5" s="265">
        <v>44980</v>
      </c>
      <c r="P5" s="266">
        <f>82243+22741+946+813</f>
        <v>106743</v>
      </c>
      <c r="Q5" s="266">
        <f>100349+6781</f>
        <v>107130</v>
      </c>
      <c r="R5" s="267">
        <f>O5+P5+Q5</f>
        <v>258853</v>
      </c>
      <c r="S5" s="270">
        <v>2024</v>
      </c>
      <c r="T5" s="108" t="s">
        <v>443</v>
      </c>
      <c r="U5" s="142" t="s">
        <v>449</v>
      </c>
    </row>
    <row r="6" spans="1:21" s="1" customFormat="1" ht="57.6" x14ac:dyDescent="0.3">
      <c r="A6" s="239">
        <v>12</v>
      </c>
      <c r="B6" s="263">
        <f t="shared" si="1"/>
        <v>4</v>
      </c>
      <c r="C6" s="256">
        <f t="shared" si="0"/>
        <v>8</v>
      </c>
      <c r="D6" s="108" t="s">
        <v>525</v>
      </c>
      <c r="E6" s="141" t="s">
        <v>59</v>
      </c>
      <c r="F6" s="141" t="s">
        <v>448</v>
      </c>
      <c r="G6" s="108" t="s">
        <v>440</v>
      </c>
      <c r="H6" s="108">
        <v>30</v>
      </c>
      <c r="I6" s="108">
        <v>181</v>
      </c>
      <c r="J6" s="268" t="s">
        <v>62</v>
      </c>
      <c r="K6" s="268"/>
      <c r="L6" s="268" t="s">
        <v>57</v>
      </c>
      <c r="M6" s="268" t="s">
        <v>57</v>
      </c>
      <c r="N6" s="271">
        <f>6.7885*0.924286</f>
        <v>6.2745155110000006</v>
      </c>
      <c r="O6" s="371"/>
      <c r="P6" s="358">
        <v>70000</v>
      </c>
      <c r="Q6" s="358">
        <v>105000</v>
      </c>
      <c r="R6" s="358">
        <f>P6+Q6</f>
        <v>175000</v>
      </c>
      <c r="S6" s="272">
        <v>2024</v>
      </c>
      <c r="T6" s="108" t="s">
        <v>557</v>
      </c>
      <c r="U6" s="142" t="s">
        <v>566</v>
      </c>
    </row>
    <row r="7" spans="1:21" s="1" customFormat="1" ht="115.2" x14ac:dyDescent="0.3">
      <c r="A7" s="239">
        <v>4</v>
      </c>
      <c r="B7" s="263">
        <f t="shared" si="1"/>
        <v>5</v>
      </c>
      <c r="C7" s="256">
        <f t="shared" si="0"/>
        <v>-1</v>
      </c>
      <c r="D7" s="108" t="s">
        <v>70</v>
      </c>
      <c r="E7" s="143" t="s">
        <v>68</v>
      </c>
      <c r="F7" s="143" t="s">
        <v>465</v>
      </c>
      <c r="G7" s="143" t="s">
        <v>466</v>
      </c>
      <c r="H7" s="273">
        <v>47</v>
      </c>
      <c r="I7" s="108">
        <f>164+138+60+16+7+18</f>
        <v>403</v>
      </c>
      <c r="J7" s="268" t="s">
        <v>56</v>
      </c>
      <c r="K7" s="268" t="s">
        <v>57</v>
      </c>
      <c r="L7" s="268" t="s">
        <v>57</v>
      </c>
      <c r="M7" s="268" t="s">
        <v>57</v>
      </c>
      <c r="N7" s="274">
        <v>6.2389999999999999</v>
      </c>
      <c r="O7" s="372">
        <v>2727</v>
      </c>
      <c r="P7" s="359">
        <v>112273</v>
      </c>
      <c r="Q7" s="359">
        <v>91000</v>
      </c>
      <c r="R7" s="359">
        <f>O7+P7+Q7</f>
        <v>206000</v>
      </c>
      <c r="S7" s="144">
        <v>2024</v>
      </c>
      <c r="T7" s="2" t="s">
        <v>71</v>
      </c>
      <c r="U7" s="275" t="s">
        <v>467</v>
      </c>
    </row>
    <row r="8" spans="1:21" s="1" customFormat="1" ht="72" x14ac:dyDescent="0.3">
      <c r="A8" s="239">
        <v>5</v>
      </c>
      <c r="B8" s="263">
        <f t="shared" si="1"/>
        <v>6</v>
      </c>
      <c r="C8" s="256">
        <f t="shared" si="0"/>
        <v>-1</v>
      </c>
      <c r="D8" s="108" t="s">
        <v>60</v>
      </c>
      <c r="E8" s="141" t="s">
        <v>61</v>
      </c>
      <c r="F8" s="141"/>
      <c r="G8" s="108" t="s">
        <v>463</v>
      </c>
      <c r="H8" s="108">
        <v>30</v>
      </c>
      <c r="I8" s="141">
        <v>204</v>
      </c>
      <c r="J8" s="268" t="s">
        <v>62</v>
      </c>
      <c r="K8" s="268"/>
      <c r="L8" s="268" t="s">
        <v>57</v>
      </c>
      <c r="M8" s="268" t="s">
        <v>57</v>
      </c>
      <c r="N8" s="274">
        <f>5.1523*1.181</f>
        <v>6.0848663000000007</v>
      </c>
      <c r="O8" s="265" t="s">
        <v>14</v>
      </c>
      <c r="P8" s="266">
        <v>64215</v>
      </c>
      <c r="Q8" s="266">
        <v>191699</v>
      </c>
      <c r="R8" s="266">
        <f>SUM(P8+Q8)</f>
        <v>255914</v>
      </c>
      <c r="S8" s="141">
        <v>2024</v>
      </c>
      <c r="T8" s="108" t="s">
        <v>64</v>
      </c>
      <c r="U8" s="142" t="s">
        <v>570</v>
      </c>
    </row>
    <row r="9" spans="1:21" s="104" customFormat="1" ht="72" x14ac:dyDescent="0.3">
      <c r="A9" s="239">
        <v>7</v>
      </c>
      <c r="B9" s="263">
        <f t="shared" si="1"/>
        <v>7</v>
      </c>
      <c r="C9" s="256">
        <f t="shared" si="0"/>
        <v>0</v>
      </c>
      <c r="D9" s="108" t="s">
        <v>63</v>
      </c>
      <c r="E9" s="141" t="s">
        <v>61</v>
      </c>
      <c r="F9" s="141"/>
      <c r="G9" s="108" t="s">
        <v>454</v>
      </c>
      <c r="H9" s="108">
        <v>32</v>
      </c>
      <c r="I9" s="108">
        <v>193</v>
      </c>
      <c r="J9" s="268" t="s">
        <v>62</v>
      </c>
      <c r="K9" s="268"/>
      <c r="L9" s="268" t="s">
        <v>57</v>
      </c>
      <c r="M9" s="268"/>
      <c r="N9" s="271">
        <v>5.6260000000000003</v>
      </c>
      <c r="O9" s="265"/>
      <c r="P9" s="266">
        <v>100664</v>
      </c>
      <c r="Q9" s="266">
        <v>88851</v>
      </c>
      <c r="R9" s="266">
        <f>P9+Q9</f>
        <v>189515</v>
      </c>
      <c r="S9" s="108" t="s">
        <v>452</v>
      </c>
      <c r="T9" s="108" t="s">
        <v>64</v>
      </c>
      <c r="U9" s="142" t="s">
        <v>453</v>
      </c>
    </row>
    <row r="10" spans="1:21" s="1" customFormat="1" ht="28.8" x14ac:dyDescent="0.3">
      <c r="A10" s="239">
        <v>9</v>
      </c>
      <c r="B10" s="263">
        <f t="shared" si="1"/>
        <v>8</v>
      </c>
      <c r="C10" s="256">
        <f t="shared" si="0"/>
        <v>1</v>
      </c>
      <c r="D10" s="141" t="s">
        <v>77</v>
      </c>
      <c r="E10" s="2" t="s">
        <v>78</v>
      </c>
      <c r="F10" s="2"/>
      <c r="G10" s="276" t="s">
        <v>334</v>
      </c>
      <c r="H10" s="277">
        <v>11</v>
      </c>
      <c r="I10" s="278">
        <v>36</v>
      </c>
      <c r="J10" s="279" t="s">
        <v>62</v>
      </c>
      <c r="K10" s="279" t="s">
        <v>57</v>
      </c>
      <c r="L10" s="279" t="s">
        <v>57</v>
      </c>
      <c r="M10" s="279" t="s">
        <v>57</v>
      </c>
      <c r="N10" s="280">
        <v>5.2690999999999999</v>
      </c>
      <c r="O10" s="359">
        <f>118327-P10</f>
        <v>84444</v>
      </c>
      <c r="P10" s="359">
        <v>33883</v>
      </c>
      <c r="Q10" s="359">
        <v>6405</v>
      </c>
      <c r="R10" s="266">
        <f>O10+P10+Q10</f>
        <v>124732</v>
      </c>
      <c r="S10" s="268">
        <v>2024</v>
      </c>
      <c r="T10" s="108" t="s">
        <v>518</v>
      </c>
      <c r="U10" s="142" t="s">
        <v>451</v>
      </c>
    </row>
    <row r="11" spans="1:21" s="1" customFormat="1" ht="28.8" x14ac:dyDescent="0.3">
      <c r="A11" s="239">
        <v>11</v>
      </c>
      <c r="B11" s="263">
        <f t="shared" si="1"/>
        <v>9</v>
      </c>
      <c r="C11" s="256">
        <f t="shared" si="0"/>
        <v>2</v>
      </c>
      <c r="D11" s="108" t="s">
        <v>526</v>
      </c>
      <c r="E11" s="143" t="s">
        <v>68</v>
      </c>
      <c r="F11" s="143" t="s">
        <v>475</v>
      </c>
      <c r="G11" s="143" t="s">
        <v>317</v>
      </c>
      <c r="H11" s="281">
        <v>12</v>
      </c>
      <c r="I11" s="144">
        <v>22</v>
      </c>
      <c r="J11" s="239" t="s">
        <v>56</v>
      </c>
      <c r="K11" s="239" t="s">
        <v>57</v>
      </c>
      <c r="L11" s="239" t="s">
        <v>57</v>
      </c>
      <c r="M11" s="239" t="s">
        <v>57</v>
      </c>
      <c r="N11" s="282">
        <v>5.1879999999999997</v>
      </c>
      <c r="O11" s="283">
        <f>102357-P11</f>
        <v>75624</v>
      </c>
      <c r="P11" s="284">
        <v>26733</v>
      </c>
      <c r="Q11" s="284">
        <v>15548</v>
      </c>
      <c r="R11" s="284">
        <f>O11+P11+Q11</f>
        <v>117905</v>
      </c>
      <c r="S11" s="239">
        <v>2024</v>
      </c>
      <c r="T11" s="2" t="s">
        <v>69</v>
      </c>
      <c r="U11" s="10"/>
    </row>
    <row r="12" spans="1:21" s="1" customFormat="1" ht="72" x14ac:dyDescent="0.3">
      <c r="A12" s="239">
        <v>10</v>
      </c>
      <c r="B12" s="263">
        <f t="shared" si="1"/>
        <v>10</v>
      </c>
      <c r="C12" s="256">
        <f t="shared" si="0"/>
        <v>0</v>
      </c>
      <c r="D12" s="108" t="s">
        <v>527</v>
      </c>
      <c r="E12" s="141" t="s">
        <v>61</v>
      </c>
      <c r="F12" s="112" t="s">
        <v>476</v>
      </c>
      <c r="G12" s="108" t="s">
        <v>492</v>
      </c>
      <c r="H12" s="108">
        <v>37</v>
      </c>
      <c r="I12" s="108">
        <v>154</v>
      </c>
      <c r="J12" s="268" t="s">
        <v>56</v>
      </c>
      <c r="K12" s="268" t="s">
        <v>57</v>
      </c>
      <c r="L12" s="268" t="s">
        <v>57</v>
      </c>
      <c r="M12" s="268" t="s">
        <v>57</v>
      </c>
      <c r="N12" s="274">
        <f>SUM(5.5736)*0.924286</f>
        <v>5.1516004496000001</v>
      </c>
      <c r="O12" s="265" t="s">
        <v>14</v>
      </c>
      <c r="P12" s="266">
        <v>96819</v>
      </c>
      <c r="Q12" s="266">
        <v>74996</v>
      </c>
      <c r="R12" s="266">
        <f>P12+Q12</f>
        <v>171815</v>
      </c>
      <c r="S12" s="268">
        <v>2024</v>
      </c>
      <c r="T12" s="108" t="s">
        <v>533</v>
      </c>
      <c r="U12" s="108" t="s">
        <v>534</v>
      </c>
    </row>
    <row r="13" spans="1:21" s="1" customFormat="1" ht="72" x14ac:dyDescent="0.3">
      <c r="A13" s="268">
        <v>8</v>
      </c>
      <c r="B13" s="263">
        <f t="shared" si="1"/>
        <v>11</v>
      </c>
      <c r="C13" s="256">
        <f t="shared" si="0"/>
        <v>-3</v>
      </c>
      <c r="D13" s="108" t="s">
        <v>65</v>
      </c>
      <c r="E13" s="141" t="s">
        <v>55</v>
      </c>
      <c r="F13" s="141"/>
      <c r="G13" s="108" t="s">
        <v>66</v>
      </c>
      <c r="H13" s="108">
        <v>8</v>
      </c>
      <c r="I13" s="108">
        <v>182</v>
      </c>
      <c r="J13" s="268" t="s">
        <v>62</v>
      </c>
      <c r="K13" s="268" t="s">
        <v>57</v>
      </c>
      <c r="L13" s="268" t="s">
        <v>57</v>
      </c>
      <c r="M13" s="268" t="s">
        <v>57</v>
      </c>
      <c r="N13" s="274">
        <f>4.9*1.049782</f>
        <v>5.1439318000000007</v>
      </c>
      <c r="O13" s="371">
        <v>31000</v>
      </c>
      <c r="P13" s="358">
        <v>49500</v>
      </c>
      <c r="Q13" s="266">
        <v>30176</v>
      </c>
      <c r="R13" s="358">
        <f>O13+P13+Q13</f>
        <v>110676</v>
      </c>
      <c r="S13" s="268">
        <v>2024</v>
      </c>
      <c r="T13" s="108" t="s">
        <v>67</v>
      </c>
      <c r="U13" s="142" t="s">
        <v>458</v>
      </c>
    </row>
    <row r="14" spans="1:21" s="1" customFormat="1" ht="72" x14ac:dyDescent="0.3">
      <c r="A14" s="239">
        <v>13</v>
      </c>
      <c r="B14" s="263">
        <f t="shared" si="1"/>
        <v>12</v>
      </c>
      <c r="C14" s="256">
        <f t="shared" si="0"/>
        <v>1</v>
      </c>
      <c r="D14" s="108" t="s">
        <v>569</v>
      </c>
      <c r="E14" s="141" t="s">
        <v>61</v>
      </c>
      <c r="F14" s="141"/>
      <c r="G14" s="108" t="s">
        <v>493</v>
      </c>
      <c r="H14" s="108">
        <v>26</v>
      </c>
      <c r="I14" s="108">
        <v>141</v>
      </c>
      <c r="J14" s="268" t="s">
        <v>62</v>
      </c>
      <c r="K14" s="268"/>
      <c r="L14" s="268" t="s">
        <v>57</v>
      </c>
      <c r="M14" s="268" t="s">
        <v>57</v>
      </c>
      <c r="N14" s="274">
        <f>3.6735*1.149</f>
        <v>4.2208515000000002</v>
      </c>
      <c r="O14" s="371" t="s">
        <v>14</v>
      </c>
      <c r="P14" s="266">
        <v>58824</v>
      </c>
      <c r="Q14" s="266">
        <v>75347</v>
      </c>
      <c r="R14" s="266">
        <f>P14+Q14</f>
        <v>134171</v>
      </c>
      <c r="S14" s="268" t="s">
        <v>567</v>
      </c>
      <c r="T14" s="108" t="s">
        <v>404</v>
      </c>
      <c r="U14" s="285" t="s">
        <v>568</v>
      </c>
    </row>
    <row r="15" spans="1:21" s="1" customFormat="1" ht="43.2" x14ac:dyDescent="0.3">
      <c r="A15" s="239">
        <v>19</v>
      </c>
      <c r="B15" s="263">
        <f t="shared" si="1"/>
        <v>13</v>
      </c>
      <c r="C15" s="256">
        <f t="shared" si="0"/>
        <v>6</v>
      </c>
      <c r="D15" s="141" t="s">
        <v>83</v>
      </c>
      <c r="E15" s="108" t="s">
        <v>59</v>
      </c>
      <c r="F15" s="108" t="s">
        <v>61</v>
      </c>
      <c r="G15" s="108" t="s">
        <v>437</v>
      </c>
      <c r="H15" s="141">
        <v>19</v>
      </c>
      <c r="I15" s="141">
        <v>173</v>
      </c>
      <c r="J15" s="268" t="s">
        <v>56</v>
      </c>
      <c r="K15" s="141"/>
      <c r="L15" s="268" t="s">
        <v>57</v>
      </c>
      <c r="M15" s="268"/>
      <c r="N15" s="286">
        <f>3.232896*1.181</f>
        <v>3.8180501760000003</v>
      </c>
      <c r="O15" s="265" t="s">
        <v>14</v>
      </c>
      <c r="P15" s="266">
        <v>64605</v>
      </c>
      <c r="Q15" s="266">
        <v>59972</v>
      </c>
      <c r="R15" s="266">
        <f>P15+Q15</f>
        <v>124577</v>
      </c>
      <c r="S15" s="268">
        <v>2024</v>
      </c>
      <c r="T15" s="108" t="s">
        <v>554</v>
      </c>
      <c r="U15" s="142" t="s">
        <v>555</v>
      </c>
    </row>
    <row r="16" spans="1:21" s="1" customFormat="1" ht="43.2" x14ac:dyDescent="0.3">
      <c r="A16" s="239">
        <v>17</v>
      </c>
      <c r="B16" s="263">
        <f t="shared" si="1"/>
        <v>14</v>
      </c>
      <c r="C16" s="256"/>
      <c r="D16" s="110" t="s">
        <v>80</v>
      </c>
      <c r="E16" s="110" t="s">
        <v>412</v>
      </c>
      <c r="F16" s="50" t="s">
        <v>423</v>
      </c>
      <c r="G16" s="287" t="s">
        <v>456</v>
      </c>
      <c r="H16" s="288">
        <v>11</v>
      </c>
      <c r="I16" s="289">
        <v>75</v>
      </c>
      <c r="J16" s="290" t="s">
        <v>56</v>
      </c>
      <c r="K16" s="290" t="s">
        <v>57</v>
      </c>
      <c r="L16" s="290" t="s">
        <v>57</v>
      </c>
      <c r="M16" s="290" t="s">
        <v>57</v>
      </c>
      <c r="N16" s="291">
        <v>3.7709999999999999</v>
      </c>
      <c r="O16" s="292">
        <v>39861</v>
      </c>
      <c r="P16" s="293">
        <v>41766</v>
      </c>
      <c r="Q16" s="293">
        <v>35862</v>
      </c>
      <c r="R16" s="294">
        <v>117489</v>
      </c>
      <c r="S16" s="290">
        <v>2024</v>
      </c>
      <c r="T16" s="288" t="s">
        <v>81</v>
      </c>
      <c r="U16" s="142" t="s">
        <v>457</v>
      </c>
    </row>
    <row r="17" spans="1:21" s="1" customFormat="1" ht="72" x14ac:dyDescent="0.3">
      <c r="A17" s="239">
        <v>14</v>
      </c>
      <c r="B17" s="263">
        <f t="shared" si="1"/>
        <v>15</v>
      </c>
      <c r="C17" s="256">
        <f t="shared" ref="C17:C37" si="2">A17-B17</f>
        <v>-1</v>
      </c>
      <c r="D17" s="141" t="s">
        <v>307</v>
      </c>
      <c r="E17" s="108" t="s">
        <v>86</v>
      </c>
      <c r="F17" s="108" t="s">
        <v>420</v>
      </c>
      <c r="G17" s="108" t="s">
        <v>540</v>
      </c>
      <c r="H17" s="108">
        <v>27</v>
      </c>
      <c r="I17" s="141">
        <v>176</v>
      </c>
      <c r="J17" s="268" t="s">
        <v>56</v>
      </c>
      <c r="K17" s="141"/>
      <c r="L17" s="268" t="s">
        <v>57</v>
      </c>
      <c r="M17" s="268" t="s">
        <v>57</v>
      </c>
      <c r="N17" s="295">
        <v>3.488</v>
      </c>
      <c r="O17" s="265"/>
      <c r="P17" s="360">
        <v>60915</v>
      </c>
      <c r="Q17" s="360">
        <v>49450</v>
      </c>
      <c r="R17" s="360">
        <f>Q17+P17</f>
        <v>110365</v>
      </c>
      <c r="S17" s="268">
        <v>2024</v>
      </c>
      <c r="T17" s="108" t="s">
        <v>308</v>
      </c>
      <c r="U17" s="142" t="s">
        <v>480</v>
      </c>
    </row>
    <row r="18" spans="1:21" s="1" customFormat="1" ht="57.6" x14ac:dyDescent="0.3">
      <c r="A18" s="239">
        <v>16</v>
      </c>
      <c r="B18" s="263">
        <f t="shared" si="1"/>
        <v>16</v>
      </c>
      <c r="C18" s="256">
        <f t="shared" si="2"/>
        <v>0</v>
      </c>
      <c r="D18" s="108" t="s">
        <v>74</v>
      </c>
      <c r="E18" s="141" t="s">
        <v>75</v>
      </c>
      <c r="F18" s="112" t="s">
        <v>422</v>
      </c>
      <c r="G18" s="108" t="s">
        <v>439</v>
      </c>
      <c r="H18" s="108">
        <v>21</v>
      </c>
      <c r="I18" s="108">
        <v>203</v>
      </c>
      <c r="J18" s="268" t="s">
        <v>56</v>
      </c>
      <c r="K18" s="268"/>
      <c r="L18" s="268" t="s">
        <v>57</v>
      </c>
      <c r="M18" s="268" t="s">
        <v>57</v>
      </c>
      <c r="N18" s="286">
        <f>39.151*0.087132</f>
        <v>3.4113049320000002</v>
      </c>
      <c r="O18" s="265"/>
      <c r="P18" s="266">
        <f>28374+7981+5463</f>
        <v>41818</v>
      </c>
      <c r="Q18" s="266">
        <v>51539</v>
      </c>
      <c r="R18" s="266">
        <f>P18+Q18</f>
        <v>93357</v>
      </c>
      <c r="S18" s="268">
        <v>2024</v>
      </c>
      <c r="T18" s="108" t="s">
        <v>441</v>
      </c>
      <c r="U18" s="296" t="s">
        <v>571</v>
      </c>
    </row>
    <row r="19" spans="1:21" s="1" customFormat="1" ht="72" x14ac:dyDescent="0.3">
      <c r="A19" s="297">
        <v>15</v>
      </c>
      <c r="B19" s="263">
        <f t="shared" si="1"/>
        <v>17</v>
      </c>
      <c r="C19" s="256">
        <f t="shared" si="2"/>
        <v>-2</v>
      </c>
      <c r="D19" s="108" t="s">
        <v>72</v>
      </c>
      <c r="E19" s="141" t="s">
        <v>73</v>
      </c>
      <c r="F19" s="141" t="s">
        <v>421</v>
      </c>
      <c r="G19" s="108" t="s">
        <v>556</v>
      </c>
      <c r="H19" s="108">
        <v>7</v>
      </c>
      <c r="I19" s="108">
        <v>86</v>
      </c>
      <c r="J19" s="268" t="s">
        <v>56</v>
      </c>
      <c r="K19" s="268" t="s">
        <v>57</v>
      </c>
      <c r="L19" s="268" t="s">
        <v>57</v>
      </c>
      <c r="M19" s="268" t="s">
        <v>57</v>
      </c>
      <c r="N19" s="280">
        <f>39.378*0.085955</f>
        <v>3.3847359900000002</v>
      </c>
      <c r="O19" s="265">
        <f>SUM(35584+10927)-P19-250</f>
        <v>10422</v>
      </c>
      <c r="P19" s="266">
        <f>27824+8015</f>
        <v>35839</v>
      </c>
      <c r="Q19" s="266">
        <f>24059+7210</f>
        <v>31269</v>
      </c>
      <c r="R19" s="266">
        <f>SUM(O19:Q19)</f>
        <v>77530</v>
      </c>
      <c r="S19" s="268">
        <v>2024</v>
      </c>
      <c r="T19" s="108" t="s">
        <v>438</v>
      </c>
      <c r="U19" s="142" t="s">
        <v>565</v>
      </c>
    </row>
    <row r="20" spans="1:21" s="104" customFormat="1" ht="57.6" x14ac:dyDescent="0.3">
      <c r="A20" s="268">
        <v>18</v>
      </c>
      <c r="B20" s="263">
        <f t="shared" si="1"/>
        <v>18</v>
      </c>
      <c r="C20" s="256">
        <f t="shared" si="2"/>
        <v>0</v>
      </c>
      <c r="D20" s="108" t="s">
        <v>82</v>
      </c>
      <c r="E20" s="108" t="s">
        <v>68</v>
      </c>
      <c r="F20" s="108" t="s">
        <v>424</v>
      </c>
      <c r="G20" s="108" t="s">
        <v>477</v>
      </c>
      <c r="H20" s="108">
        <v>22</v>
      </c>
      <c r="I20" s="108">
        <v>86</v>
      </c>
      <c r="J20" s="268" t="s">
        <v>56</v>
      </c>
      <c r="K20" s="268" t="s">
        <v>57</v>
      </c>
      <c r="L20" s="268" t="s">
        <v>57</v>
      </c>
      <c r="M20" s="268" t="s">
        <v>57</v>
      </c>
      <c r="N20" s="274">
        <v>3.22</v>
      </c>
      <c r="O20" s="373">
        <f>44178+1862</f>
        <v>46040</v>
      </c>
      <c r="P20" s="267">
        <f>21044+3120+2373</f>
        <v>26537</v>
      </c>
      <c r="Q20" s="267">
        <f>590+45+16814</f>
        <v>17449</v>
      </c>
      <c r="R20" s="266">
        <f>O20+P20+Q20</f>
        <v>90026</v>
      </c>
      <c r="S20" s="268">
        <v>2024</v>
      </c>
      <c r="T20" s="108" t="s">
        <v>478</v>
      </c>
      <c r="U20" s="142" t="s">
        <v>479</v>
      </c>
    </row>
    <row r="21" spans="1:21" s="104" customFormat="1" ht="72" x14ac:dyDescent="0.3">
      <c r="A21" s="239">
        <v>20</v>
      </c>
      <c r="B21" s="263">
        <v>19</v>
      </c>
      <c r="C21" s="256">
        <f t="shared" si="2"/>
        <v>1</v>
      </c>
      <c r="D21" s="108" t="s">
        <v>369</v>
      </c>
      <c r="E21" s="108" t="s">
        <v>79</v>
      </c>
      <c r="F21" s="108" t="s">
        <v>425</v>
      </c>
      <c r="G21" s="108" t="s">
        <v>495</v>
      </c>
      <c r="H21" s="108">
        <v>32</v>
      </c>
      <c r="I21" s="108">
        <v>168</v>
      </c>
      <c r="J21" s="268" t="s">
        <v>56</v>
      </c>
      <c r="K21" s="268"/>
      <c r="L21" s="268" t="s">
        <v>57</v>
      </c>
      <c r="M21" s="268"/>
      <c r="N21" s="299">
        <v>3.0241760000000002</v>
      </c>
      <c r="O21" s="374"/>
      <c r="P21" s="266">
        <v>60025</v>
      </c>
      <c r="Q21" s="361">
        <v>59912</v>
      </c>
      <c r="R21" s="360">
        <f>O21+P21+Q21</f>
        <v>119937</v>
      </c>
      <c r="S21" s="301" t="s">
        <v>494</v>
      </c>
      <c r="T21" s="108" t="s">
        <v>496</v>
      </c>
      <c r="U21" s="302" t="s">
        <v>14</v>
      </c>
    </row>
    <row r="22" spans="1:21" ht="57.6" x14ac:dyDescent="0.3">
      <c r="A22" s="239">
        <v>20</v>
      </c>
      <c r="B22" s="263">
        <f>B21+1</f>
        <v>20</v>
      </c>
      <c r="C22" s="256">
        <f t="shared" si="2"/>
        <v>0</v>
      </c>
      <c r="D22" s="108" t="s">
        <v>92</v>
      </c>
      <c r="E22" s="141" t="s">
        <v>79</v>
      </c>
      <c r="F22" s="141"/>
      <c r="G22" s="108" t="s">
        <v>472</v>
      </c>
      <c r="H22" s="108">
        <v>16</v>
      </c>
      <c r="I22" s="108">
        <v>82</v>
      </c>
      <c r="J22" s="268" t="s">
        <v>62</v>
      </c>
      <c r="K22" s="268"/>
      <c r="L22" s="268" t="s">
        <v>57</v>
      </c>
      <c r="M22" s="268"/>
      <c r="N22" s="299">
        <v>3.024</v>
      </c>
      <c r="O22" s="374"/>
      <c r="P22" s="266">
        <v>50000</v>
      </c>
      <c r="Q22" s="361">
        <v>40000</v>
      </c>
      <c r="R22" s="266">
        <f>P22+Q22</f>
        <v>90000</v>
      </c>
      <c r="S22" s="268">
        <v>2024</v>
      </c>
      <c r="T22" s="108" t="s">
        <v>469</v>
      </c>
      <c r="U22" s="111" t="s">
        <v>14</v>
      </c>
    </row>
    <row r="23" spans="1:21" s="1" customFormat="1" ht="72" x14ac:dyDescent="0.3">
      <c r="A23" s="239">
        <v>25</v>
      </c>
      <c r="B23" s="263">
        <f>B22+1</f>
        <v>21</v>
      </c>
      <c r="C23" s="256">
        <f t="shared" si="2"/>
        <v>4</v>
      </c>
      <c r="D23" s="108" t="s">
        <v>373</v>
      </c>
      <c r="E23" s="141" t="s">
        <v>91</v>
      </c>
      <c r="F23" s="108" t="s">
        <v>502</v>
      </c>
      <c r="G23" s="303" t="s">
        <v>503</v>
      </c>
      <c r="H23" s="108">
        <v>24</v>
      </c>
      <c r="I23" s="267">
        <v>231</v>
      </c>
      <c r="J23" s="113" t="s">
        <v>56</v>
      </c>
      <c r="K23" s="113" t="s">
        <v>57</v>
      </c>
      <c r="L23" s="113" t="s">
        <v>57</v>
      </c>
      <c r="M23" s="113" t="s">
        <v>57</v>
      </c>
      <c r="N23" s="274">
        <v>2.7010000000000001</v>
      </c>
      <c r="O23" s="373">
        <v>74129</v>
      </c>
      <c r="P23" s="267">
        <v>51668</v>
      </c>
      <c r="Q23" s="362">
        <v>30499</v>
      </c>
      <c r="R23" s="266">
        <f>O23+P23+Q23</f>
        <v>156296</v>
      </c>
      <c r="S23" s="113">
        <v>2024</v>
      </c>
      <c r="T23" s="108" t="s">
        <v>312</v>
      </c>
      <c r="U23" s="142" t="s">
        <v>572</v>
      </c>
    </row>
    <row r="24" spans="1:21" s="104" customFormat="1" ht="57.6" x14ac:dyDescent="0.3">
      <c r="A24" s="239">
        <v>23</v>
      </c>
      <c r="B24" s="263">
        <f>B23+1</f>
        <v>22</v>
      </c>
      <c r="C24" s="256">
        <f t="shared" si="2"/>
        <v>1</v>
      </c>
      <c r="D24" s="141" t="s">
        <v>93</v>
      </c>
      <c r="E24" s="108" t="s">
        <v>86</v>
      </c>
      <c r="F24" s="108" t="s">
        <v>426</v>
      </c>
      <c r="G24" s="108" t="s">
        <v>481</v>
      </c>
      <c r="H24" s="108">
        <v>24</v>
      </c>
      <c r="I24" s="141">
        <v>207</v>
      </c>
      <c r="J24" s="268" t="s">
        <v>56</v>
      </c>
      <c r="K24" s="141"/>
      <c r="L24" s="268" t="s">
        <v>57</v>
      </c>
      <c r="M24" s="268"/>
      <c r="N24" s="271">
        <v>2.7</v>
      </c>
      <c r="O24" s="265"/>
      <c r="P24" s="360">
        <v>48130</v>
      </c>
      <c r="Q24" s="360">
        <v>29600</v>
      </c>
      <c r="R24" s="360">
        <f>+Q24+P24</f>
        <v>77730</v>
      </c>
      <c r="S24" s="268">
        <v>2024</v>
      </c>
      <c r="T24" s="108" t="s">
        <v>88</v>
      </c>
      <c r="U24" s="142" t="s">
        <v>573</v>
      </c>
    </row>
    <row r="25" spans="1:21" s="104" customFormat="1" ht="43.2" x14ac:dyDescent="0.3">
      <c r="A25" s="239">
        <v>28</v>
      </c>
      <c r="B25" s="263">
        <v>23</v>
      </c>
      <c r="C25" s="256">
        <f t="shared" si="2"/>
        <v>5</v>
      </c>
      <c r="D25" s="108" t="s">
        <v>98</v>
      </c>
      <c r="E25" s="141" t="s">
        <v>99</v>
      </c>
      <c r="F25" s="141"/>
      <c r="G25" s="304" t="s">
        <v>519</v>
      </c>
      <c r="H25" s="108">
        <v>19</v>
      </c>
      <c r="I25" s="141">
        <v>202</v>
      </c>
      <c r="J25" s="268" t="s">
        <v>62</v>
      </c>
      <c r="K25" s="140"/>
      <c r="L25" s="268" t="s">
        <v>57</v>
      </c>
      <c r="M25" s="305"/>
      <c r="N25" s="274">
        <v>2.6880000000000002</v>
      </c>
      <c r="O25" s="265"/>
      <c r="P25" s="266">
        <v>43448</v>
      </c>
      <c r="Q25" s="266">
        <v>36729</v>
      </c>
      <c r="R25" s="266">
        <f>P25+Q25</f>
        <v>80177</v>
      </c>
      <c r="S25" s="268">
        <v>2024</v>
      </c>
      <c r="T25" s="306" t="s">
        <v>100</v>
      </c>
      <c r="U25" s="296" t="s">
        <v>14</v>
      </c>
    </row>
    <row r="26" spans="1:21" s="1" customFormat="1" ht="57.6" x14ac:dyDescent="0.3">
      <c r="A26" s="239">
        <v>22</v>
      </c>
      <c r="B26" s="263">
        <f>B25+1</f>
        <v>24</v>
      </c>
      <c r="C26" s="256">
        <f t="shared" si="2"/>
        <v>-2</v>
      </c>
      <c r="D26" s="108" t="s">
        <v>87</v>
      </c>
      <c r="E26" s="141" t="s">
        <v>79</v>
      </c>
      <c r="F26" s="141"/>
      <c r="G26" s="108" t="s">
        <v>473</v>
      </c>
      <c r="H26" s="108">
        <v>11</v>
      </c>
      <c r="I26" s="108">
        <v>58</v>
      </c>
      <c r="J26" s="268" t="s">
        <v>62</v>
      </c>
      <c r="K26" s="268"/>
      <c r="L26" s="268" t="s">
        <v>57</v>
      </c>
      <c r="M26" s="268"/>
      <c r="N26" s="307">
        <v>2.67</v>
      </c>
      <c r="O26" s="374"/>
      <c r="P26" s="266">
        <v>43398</v>
      </c>
      <c r="Q26" s="266">
        <v>29314</v>
      </c>
      <c r="R26" s="360">
        <f>Q26+P26</f>
        <v>72712</v>
      </c>
      <c r="S26" s="268">
        <v>2024</v>
      </c>
      <c r="T26" s="108" t="s">
        <v>469</v>
      </c>
      <c r="U26" s="308" t="s">
        <v>14</v>
      </c>
    </row>
    <row r="27" spans="1:21" s="186" customFormat="1" ht="43.2" x14ac:dyDescent="0.3">
      <c r="A27" s="268">
        <v>24</v>
      </c>
      <c r="B27" s="263">
        <v>24</v>
      </c>
      <c r="C27" s="256">
        <f t="shared" si="2"/>
        <v>0</v>
      </c>
      <c r="D27" s="141" t="s">
        <v>377</v>
      </c>
      <c r="E27" s="141" t="s">
        <v>86</v>
      </c>
      <c r="F27" s="141"/>
      <c r="G27" s="108" t="s">
        <v>318</v>
      </c>
      <c r="H27" s="141">
        <v>14</v>
      </c>
      <c r="I27" s="141">
        <v>140</v>
      </c>
      <c r="J27" s="268" t="s">
        <v>62</v>
      </c>
      <c r="K27" s="141"/>
      <c r="L27" s="268" t="s">
        <v>57</v>
      </c>
      <c r="M27" s="268" t="s">
        <v>57</v>
      </c>
      <c r="N27" s="271">
        <v>2.67</v>
      </c>
      <c r="O27" s="265"/>
      <c r="P27" s="360">
        <v>47671</v>
      </c>
      <c r="Q27" s="267">
        <v>46076</v>
      </c>
      <c r="R27" s="360">
        <f>Q27+P27</f>
        <v>93747</v>
      </c>
      <c r="S27" s="268">
        <v>2024</v>
      </c>
      <c r="T27" s="108" t="s">
        <v>88</v>
      </c>
      <c r="U27" s="142" t="s">
        <v>14</v>
      </c>
    </row>
    <row r="28" spans="1:21" s="1" customFormat="1" ht="43.2" x14ac:dyDescent="0.3">
      <c r="A28" s="239">
        <v>27</v>
      </c>
      <c r="B28" s="263">
        <v>26</v>
      </c>
      <c r="C28" s="256">
        <f t="shared" si="2"/>
        <v>1</v>
      </c>
      <c r="D28" s="108" t="s">
        <v>101</v>
      </c>
      <c r="E28" s="108" t="s">
        <v>86</v>
      </c>
      <c r="F28" s="108" t="s">
        <v>427</v>
      </c>
      <c r="G28" s="108" t="s">
        <v>102</v>
      </c>
      <c r="H28" s="108">
        <v>6</v>
      </c>
      <c r="I28" s="141">
        <f>102+37</f>
        <v>139</v>
      </c>
      <c r="J28" s="268" t="s">
        <v>56</v>
      </c>
      <c r="K28" s="268"/>
      <c r="L28" s="268" t="s">
        <v>57</v>
      </c>
      <c r="M28" s="268" t="s">
        <v>57</v>
      </c>
      <c r="N28" s="274">
        <v>2.5499999999999998</v>
      </c>
      <c r="O28" s="265"/>
      <c r="P28" s="360">
        <v>29154</v>
      </c>
      <c r="Q28" s="360">
        <v>21470</v>
      </c>
      <c r="R28" s="360">
        <f>P28+Q28</f>
        <v>50624</v>
      </c>
      <c r="S28" s="268">
        <v>2024</v>
      </c>
      <c r="T28" s="108" t="s">
        <v>88</v>
      </c>
      <c r="U28" s="142" t="s">
        <v>14</v>
      </c>
    </row>
    <row r="29" spans="1:21" s="1" customFormat="1" ht="43.2" x14ac:dyDescent="0.3">
      <c r="A29" s="239">
        <v>30</v>
      </c>
      <c r="B29" s="263">
        <f t="shared" ref="B29:B52" si="3">B28+1</f>
        <v>27</v>
      </c>
      <c r="C29" s="256">
        <f t="shared" si="2"/>
        <v>3</v>
      </c>
      <c r="D29" s="108" t="s">
        <v>106</v>
      </c>
      <c r="E29" s="108" t="s">
        <v>86</v>
      </c>
      <c r="F29" s="108"/>
      <c r="G29" s="108" t="s">
        <v>484</v>
      </c>
      <c r="H29" s="108">
        <v>17</v>
      </c>
      <c r="I29" s="141">
        <v>169</v>
      </c>
      <c r="J29" s="268" t="s">
        <v>62</v>
      </c>
      <c r="K29" s="141"/>
      <c r="L29" s="268" t="s">
        <v>57</v>
      </c>
      <c r="M29" s="268"/>
      <c r="N29" s="274">
        <v>2.1389999999999998</v>
      </c>
      <c r="O29" s="265"/>
      <c r="P29" s="360">
        <v>42063</v>
      </c>
      <c r="Q29" s="360">
        <v>38755</v>
      </c>
      <c r="R29" s="360">
        <f>P29+Q29</f>
        <v>80818</v>
      </c>
      <c r="S29" s="268">
        <v>2024</v>
      </c>
      <c r="T29" s="108" t="s">
        <v>88</v>
      </c>
      <c r="U29" s="111" t="s">
        <v>14</v>
      </c>
    </row>
    <row r="30" spans="1:21" s="1" customFormat="1" ht="57.6" x14ac:dyDescent="0.3">
      <c r="A30" s="239">
        <v>31</v>
      </c>
      <c r="B30" s="263">
        <f t="shared" si="3"/>
        <v>28</v>
      </c>
      <c r="C30" s="256">
        <f t="shared" si="2"/>
        <v>3</v>
      </c>
      <c r="D30" s="108" t="s">
        <v>368</v>
      </c>
      <c r="E30" s="108" t="s">
        <v>55</v>
      </c>
      <c r="F30" s="108" t="s">
        <v>428</v>
      </c>
      <c r="G30" s="108" t="s">
        <v>319</v>
      </c>
      <c r="H30" s="108">
        <v>5</v>
      </c>
      <c r="I30" s="108">
        <v>109</v>
      </c>
      <c r="J30" s="268" t="s">
        <v>56</v>
      </c>
      <c r="K30" s="268"/>
      <c r="L30" s="268" t="s">
        <v>57</v>
      </c>
      <c r="M30" s="268" t="s">
        <v>57</v>
      </c>
      <c r="N30" s="274">
        <f>2*1.049782</f>
        <v>2.099564</v>
      </c>
      <c r="O30" s="375"/>
      <c r="P30" s="358">
        <v>25500</v>
      </c>
      <c r="Q30" s="358">
        <f>P30*0.7</f>
        <v>17850</v>
      </c>
      <c r="R30" s="363">
        <f>P30+Q30</f>
        <v>43350</v>
      </c>
      <c r="S30" s="268">
        <v>2024</v>
      </c>
      <c r="T30" s="108" t="s">
        <v>328</v>
      </c>
      <c r="U30" s="142" t="s">
        <v>510</v>
      </c>
    </row>
    <row r="31" spans="1:21" s="1" customFormat="1" ht="43.2" x14ac:dyDescent="0.3">
      <c r="A31" s="268">
        <v>36</v>
      </c>
      <c r="B31" s="263">
        <f t="shared" si="3"/>
        <v>29</v>
      </c>
      <c r="C31" s="256">
        <f t="shared" si="2"/>
        <v>7</v>
      </c>
      <c r="D31" s="108" t="s">
        <v>103</v>
      </c>
      <c r="E31" s="141" t="s">
        <v>61</v>
      </c>
      <c r="F31" s="141"/>
      <c r="G31" s="108" t="s">
        <v>461</v>
      </c>
      <c r="H31" s="108">
        <v>8</v>
      </c>
      <c r="I31" s="108">
        <v>12</v>
      </c>
      <c r="J31" s="268" t="s">
        <v>62</v>
      </c>
      <c r="K31" s="268"/>
      <c r="L31" s="268" t="s">
        <v>57</v>
      </c>
      <c r="M31" s="268" t="s">
        <v>57</v>
      </c>
      <c r="N31" s="274">
        <f>1.794124*1.149</f>
        <v>2.0614484760000003</v>
      </c>
      <c r="O31" s="265" t="s">
        <v>14</v>
      </c>
      <c r="P31" s="266">
        <v>70272</v>
      </c>
      <c r="Q31" s="266">
        <v>4250</v>
      </c>
      <c r="R31" s="266">
        <f>P31+Q31</f>
        <v>74522</v>
      </c>
      <c r="S31" s="268">
        <v>2024</v>
      </c>
      <c r="T31" s="108" t="s">
        <v>460</v>
      </c>
      <c r="U31" s="142" t="s">
        <v>459</v>
      </c>
    </row>
    <row r="32" spans="1:21" s="104" customFormat="1" ht="57.6" x14ac:dyDescent="0.3">
      <c r="A32" s="239">
        <v>37</v>
      </c>
      <c r="B32" s="263">
        <f t="shared" si="3"/>
        <v>30</v>
      </c>
      <c r="C32" s="256">
        <f t="shared" si="2"/>
        <v>7</v>
      </c>
      <c r="D32" s="108" t="s">
        <v>309</v>
      </c>
      <c r="E32" s="108" t="s">
        <v>79</v>
      </c>
      <c r="F32" s="108"/>
      <c r="G32" s="143" t="s">
        <v>455</v>
      </c>
      <c r="H32" s="309">
        <v>13</v>
      </c>
      <c r="I32" s="108">
        <v>87</v>
      </c>
      <c r="J32" s="268" t="s">
        <v>62</v>
      </c>
      <c r="K32" s="268"/>
      <c r="L32" s="268" t="s">
        <v>57</v>
      </c>
      <c r="M32" s="268" t="s">
        <v>57</v>
      </c>
      <c r="N32" s="307">
        <v>2.0150000000000001</v>
      </c>
      <c r="O32" s="374"/>
      <c r="P32" s="266">
        <v>24300</v>
      </c>
      <c r="Q32" s="361">
        <v>22600</v>
      </c>
      <c r="R32" s="364">
        <f>P32+Q32</f>
        <v>46900</v>
      </c>
      <c r="S32" s="268">
        <v>2024</v>
      </c>
      <c r="T32" s="108" t="s">
        <v>524</v>
      </c>
      <c r="U32" s="310" t="s">
        <v>14</v>
      </c>
    </row>
    <row r="33" spans="1:21" s="1" customFormat="1" ht="43.2" x14ac:dyDescent="0.3">
      <c r="A33" s="239">
        <v>29</v>
      </c>
      <c r="B33" s="263">
        <f t="shared" si="3"/>
        <v>31</v>
      </c>
      <c r="C33" s="256">
        <f t="shared" si="2"/>
        <v>-2</v>
      </c>
      <c r="D33" s="108" t="s">
        <v>96</v>
      </c>
      <c r="E33" s="141" t="s">
        <v>86</v>
      </c>
      <c r="F33" s="141"/>
      <c r="G33" s="108" t="s">
        <v>483</v>
      </c>
      <c r="H33" s="141">
        <v>17</v>
      </c>
      <c r="I33" s="141">
        <v>124</v>
      </c>
      <c r="J33" s="268" t="s">
        <v>62</v>
      </c>
      <c r="K33" s="268"/>
      <c r="L33" s="268" t="s">
        <v>57</v>
      </c>
      <c r="M33" s="268" t="s">
        <v>57</v>
      </c>
      <c r="N33" s="274">
        <v>2</v>
      </c>
      <c r="O33" s="265"/>
      <c r="P33" s="266">
        <v>35000</v>
      </c>
      <c r="Q33" s="266">
        <v>30000</v>
      </c>
      <c r="R33" s="266">
        <f>Q33+P33</f>
        <v>65000</v>
      </c>
      <c r="S33" s="268">
        <v>2024</v>
      </c>
      <c r="T33" s="108" t="s">
        <v>88</v>
      </c>
      <c r="U33" s="111" t="s">
        <v>482</v>
      </c>
    </row>
    <row r="34" spans="1:21" s="1" customFormat="1" ht="43.2" x14ac:dyDescent="0.3">
      <c r="A34" s="239">
        <v>34</v>
      </c>
      <c r="B34" s="263">
        <f t="shared" si="3"/>
        <v>32</v>
      </c>
      <c r="C34" s="256">
        <f t="shared" si="2"/>
        <v>2</v>
      </c>
      <c r="D34" s="141" t="s">
        <v>372</v>
      </c>
      <c r="E34" s="141" t="s">
        <v>86</v>
      </c>
      <c r="F34" s="141"/>
      <c r="G34" s="108" t="s">
        <v>485</v>
      </c>
      <c r="H34" s="141">
        <v>17</v>
      </c>
      <c r="I34" s="141">
        <v>114</v>
      </c>
      <c r="J34" s="268" t="s">
        <v>62</v>
      </c>
      <c r="K34" s="141"/>
      <c r="L34" s="268" t="s">
        <v>57</v>
      </c>
      <c r="M34" s="268" t="s">
        <v>57</v>
      </c>
      <c r="N34" s="271">
        <v>1.9139999999999999</v>
      </c>
      <c r="O34" s="265"/>
      <c r="P34" s="360">
        <v>32515</v>
      </c>
      <c r="Q34" s="267">
        <v>29557</v>
      </c>
      <c r="R34" s="360">
        <f>Q34+P34</f>
        <v>62072</v>
      </c>
      <c r="S34" s="268">
        <v>2024</v>
      </c>
      <c r="T34" s="108" t="s">
        <v>88</v>
      </c>
      <c r="U34" s="142" t="s">
        <v>486</v>
      </c>
    </row>
    <row r="35" spans="1:21" s="1" customFormat="1" ht="72" x14ac:dyDescent="0.3">
      <c r="A35" s="268">
        <v>39</v>
      </c>
      <c r="B35" s="263">
        <f t="shared" si="3"/>
        <v>33</v>
      </c>
      <c r="C35" s="256">
        <f t="shared" si="2"/>
        <v>6</v>
      </c>
      <c r="D35" s="108" t="s">
        <v>327</v>
      </c>
      <c r="E35" s="108" t="s">
        <v>86</v>
      </c>
      <c r="F35" s="108" t="s">
        <v>429</v>
      </c>
      <c r="G35" s="108" t="s">
        <v>487</v>
      </c>
      <c r="H35" s="141">
        <v>30</v>
      </c>
      <c r="I35" s="141">
        <v>179</v>
      </c>
      <c r="J35" s="268" t="s">
        <v>56</v>
      </c>
      <c r="K35" s="268"/>
      <c r="L35" s="268" t="s">
        <v>57</v>
      </c>
      <c r="M35" s="268" t="s">
        <v>57</v>
      </c>
      <c r="N35" s="271">
        <v>1.9</v>
      </c>
      <c r="O35" s="265"/>
      <c r="P35" s="360">
        <v>18500</v>
      </c>
      <c r="Q35" s="360">
        <v>15500</v>
      </c>
      <c r="R35" s="360">
        <f>P35+Q35</f>
        <v>34000</v>
      </c>
      <c r="S35" s="113">
        <v>2024</v>
      </c>
      <c r="T35" s="108" t="s">
        <v>88</v>
      </c>
      <c r="U35" s="111" t="s">
        <v>574</v>
      </c>
    </row>
    <row r="36" spans="1:21" s="104" customFormat="1" ht="57.6" x14ac:dyDescent="0.3">
      <c r="A36" s="268">
        <v>33</v>
      </c>
      <c r="B36" s="263">
        <f t="shared" si="3"/>
        <v>34</v>
      </c>
      <c r="C36" s="256">
        <f t="shared" si="2"/>
        <v>-1</v>
      </c>
      <c r="D36" s="108" t="s">
        <v>94</v>
      </c>
      <c r="E36" s="141" t="s">
        <v>79</v>
      </c>
      <c r="F36" s="141"/>
      <c r="G36" s="108" t="s">
        <v>474</v>
      </c>
      <c r="H36" s="108">
        <v>16</v>
      </c>
      <c r="I36" s="108">
        <v>96</v>
      </c>
      <c r="J36" s="268" t="s">
        <v>62</v>
      </c>
      <c r="K36" s="141"/>
      <c r="L36" s="268" t="s">
        <v>57</v>
      </c>
      <c r="M36" s="268"/>
      <c r="N36" s="307">
        <v>1.8440000000000001</v>
      </c>
      <c r="O36" s="374"/>
      <c r="P36" s="266">
        <v>19889</v>
      </c>
      <c r="Q36" s="266">
        <v>18170</v>
      </c>
      <c r="R36" s="266">
        <f>P36+Q36</f>
        <v>38059</v>
      </c>
      <c r="S36" s="268">
        <v>2024</v>
      </c>
      <c r="T36" s="108" t="s">
        <v>469</v>
      </c>
      <c r="U36" s="311" t="s">
        <v>14</v>
      </c>
    </row>
    <row r="37" spans="1:21" s="1" customFormat="1" ht="57.6" x14ac:dyDescent="0.3">
      <c r="A37" s="268">
        <v>41</v>
      </c>
      <c r="B37" s="263">
        <f t="shared" si="3"/>
        <v>35</v>
      </c>
      <c r="C37" s="256">
        <f t="shared" si="2"/>
        <v>6</v>
      </c>
      <c r="D37" s="108" t="s">
        <v>109</v>
      </c>
      <c r="E37" s="108" t="s">
        <v>86</v>
      </c>
      <c r="F37" s="108" t="s">
        <v>78</v>
      </c>
      <c r="G37" s="108" t="s">
        <v>335</v>
      </c>
      <c r="H37" s="141">
        <v>13</v>
      </c>
      <c r="I37" s="141">
        <v>121</v>
      </c>
      <c r="J37" s="268" t="s">
        <v>56</v>
      </c>
      <c r="K37" s="268"/>
      <c r="L37" s="268" t="s">
        <v>57</v>
      </c>
      <c r="M37" s="268" t="s">
        <v>57</v>
      </c>
      <c r="N37" s="274">
        <v>1.8129999999999999</v>
      </c>
      <c r="O37" s="265"/>
      <c r="P37" s="360">
        <v>36862</v>
      </c>
      <c r="Q37" s="360">
        <v>37005</v>
      </c>
      <c r="R37" s="360">
        <f>O37+P37+Q37</f>
        <v>73867</v>
      </c>
      <c r="S37" s="268">
        <v>2024</v>
      </c>
      <c r="T37" s="108" t="s">
        <v>543</v>
      </c>
      <c r="U37" s="111" t="s">
        <v>575</v>
      </c>
    </row>
    <row r="38" spans="1:21" s="1" customFormat="1" ht="72" x14ac:dyDescent="0.3">
      <c r="A38" s="239" t="s">
        <v>535</v>
      </c>
      <c r="B38" s="263">
        <f t="shared" si="3"/>
        <v>36</v>
      </c>
      <c r="C38" s="312"/>
      <c r="D38" s="108" t="s">
        <v>520</v>
      </c>
      <c r="E38" s="141" t="s">
        <v>99</v>
      </c>
      <c r="F38" s="140"/>
      <c r="G38" s="108" t="s">
        <v>522</v>
      </c>
      <c r="H38" s="141">
        <v>30</v>
      </c>
      <c r="I38" s="141">
        <v>250</v>
      </c>
      <c r="J38" s="268" t="s">
        <v>62</v>
      </c>
      <c r="K38" s="268"/>
      <c r="L38" s="268" t="s">
        <v>57</v>
      </c>
      <c r="M38" s="268" t="s">
        <v>57</v>
      </c>
      <c r="N38" s="274">
        <v>1.78</v>
      </c>
      <c r="O38" s="376"/>
      <c r="P38" s="266">
        <v>38000</v>
      </c>
      <c r="Q38" s="266">
        <v>40000</v>
      </c>
      <c r="R38" s="266">
        <f>P38+Q38</f>
        <v>78000</v>
      </c>
      <c r="S38" s="268">
        <v>2024</v>
      </c>
      <c r="T38" s="112" t="s">
        <v>523</v>
      </c>
      <c r="U38" s="275" t="s">
        <v>14</v>
      </c>
    </row>
    <row r="39" spans="1:21" s="1" customFormat="1" ht="72" x14ac:dyDescent="0.3">
      <c r="A39" s="268">
        <v>45</v>
      </c>
      <c r="B39" s="263">
        <f t="shared" si="3"/>
        <v>37</v>
      </c>
      <c r="C39" s="256">
        <f>A39-B39</f>
        <v>8</v>
      </c>
      <c r="D39" s="141" t="s">
        <v>89</v>
      </c>
      <c r="E39" s="108" t="s">
        <v>86</v>
      </c>
      <c r="F39" s="108" t="s">
        <v>541</v>
      </c>
      <c r="G39" s="108" t="s">
        <v>542</v>
      </c>
      <c r="H39" s="141">
        <v>35</v>
      </c>
      <c r="I39" s="141">
        <v>157</v>
      </c>
      <c r="J39" s="268" t="s">
        <v>56</v>
      </c>
      <c r="K39" s="141"/>
      <c r="L39" s="268" t="s">
        <v>57</v>
      </c>
      <c r="M39" s="268" t="s">
        <v>57</v>
      </c>
      <c r="N39" s="295">
        <v>1.7</v>
      </c>
      <c r="O39" s="377"/>
      <c r="P39" s="365">
        <v>33000</v>
      </c>
      <c r="Q39" s="313">
        <v>22000</v>
      </c>
      <c r="R39" s="365">
        <f>+Q39+P39</f>
        <v>55000</v>
      </c>
      <c r="S39" s="314">
        <v>2024</v>
      </c>
      <c r="T39" s="108" t="s">
        <v>371</v>
      </c>
      <c r="U39" s="142" t="s">
        <v>14</v>
      </c>
    </row>
    <row r="40" spans="1:21" s="1" customFormat="1" ht="57.6" x14ac:dyDescent="0.3">
      <c r="A40" s="239" t="s">
        <v>535</v>
      </c>
      <c r="B40" s="263">
        <f t="shared" si="3"/>
        <v>38</v>
      </c>
      <c r="C40" s="256"/>
      <c r="D40" s="108" t="s">
        <v>468</v>
      </c>
      <c r="E40" s="141" t="s">
        <v>79</v>
      </c>
      <c r="F40" s="141"/>
      <c r="G40" s="108" t="s">
        <v>471</v>
      </c>
      <c r="H40" s="108">
        <v>10</v>
      </c>
      <c r="I40" s="108">
        <v>81</v>
      </c>
      <c r="J40" s="268" t="s">
        <v>62</v>
      </c>
      <c r="K40" s="268"/>
      <c r="L40" s="268" t="s">
        <v>57</v>
      </c>
      <c r="M40" s="268" t="s">
        <v>57</v>
      </c>
      <c r="N40" s="291">
        <v>1.6719999999999999</v>
      </c>
      <c r="O40" s="265"/>
      <c r="P40" s="266">
        <v>16931</v>
      </c>
      <c r="Q40" s="266">
        <v>31178</v>
      </c>
      <c r="R40" s="266">
        <f>P40+Q40</f>
        <v>48109</v>
      </c>
      <c r="S40" s="314">
        <v>2024</v>
      </c>
      <c r="T40" s="108" t="s">
        <v>469</v>
      </c>
      <c r="U40" s="315" t="s">
        <v>14</v>
      </c>
    </row>
    <row r="41" spans="1:21" s="1" customFormat="1" ht="57.6" x14ac:dyDescent="0.3">
      <c r="A41" s="239" t="s">
        <v>535</v>
      </c>
      <c r="B41" s="263">
        <f t="shared" si="3"/>
        <v>39</v>
      </c>
      <c r="C41" s="256"/>
      <c r="D41" s="108" t="s">
        <v>499</v>
      </c>
      <c r="E41" s="316" t="s">
        <v>497</v>
      </c>
      <c r="F41" s="316" t="s">
        <v>448</v>
      </c>
      <c r="G41" s="108" t="s">
        <v>501</v>
      </c>
      <c r="H41" s="108">
        <v>22</v>
      </c>
      <c r="I41" s="108">
        <v>98</v>
      </c>
      <c r="J41" s="268" t="s">
        <v>56</v>
      </c>
      <c r="K41" s="268"/>
      <c r="L41" s="268" t="s">
        <v>57</v>
      </c>
      <c r="M41" s="268" t="s">
        <v>57</v>
      </c>
      <c r="N41" s="274">
        <f>1.402*1.181</f>
        <v>1.655762</v>
      </c>
      <c r="O41" s="265"/>
      <c r="P41" s="266">
        <v>22901</v>
      </c>
      <c r="Q41" s="266">
        <v>11233</v>
      </c>
      <c r="R41" s="364">
        <f>P41+Q41</f>
        <v>34134</v>
      </c>
      <c r="S41" s="268" t="s">
        <v>391</v>
      </c>
      <c r="T41" s="108" t="s">
        <v>498</v>
      </c>
      <c r="U41" s="275" t="s">
        <v>464</v>
      </c>
    </row>
    <row r="42" spans="1:21" s="1" customFormat="1" ht="57.6" x14ac:dyDescent="0.3">
      <c r="A42" s="239">
        <v>47</v>
      </c>
      <c r="B42" s="263">
        <f t="shared" si="3"/>
        <v>40</v>
      </c>
      <c r="C42" s="256">
        <f>A42-B42</f>
        <v>7</v>
      </c>
      <c r="D42" s="316" t="s">
        <v>112</v>
      </c>
      <c r="E42" s="316" t="s">
        <v>79</v>
      </c>
      <c r="F42" s="316"/>
      <c r="G42" s="108" t="s">
        <v>470</v>
      </c>
      <c r="H42" s="141">
        <v>8</v>
      </c>
      <c r="I42" s="141">
        <v>76</v>
      </c>
      <c r="J42" s="268" t="s">
        <v>62</v>
      </c>
      <c r="K42" s="141"/>
      <c r="L42" s="268" t="s">
        <v>57</v>
      </c>
      <c r="M42" s="268"/>
      <c r="N42" s="271">
        <v>1.65</v>
      </c>
      <c r="O42" s="374"/>
      <c r="P42" s="266">
        <v>21281</v>
      </c>
      <c r="Q42" s="361">
        <v>19129</v>
      </c>
      <c r="R42" s="364">
        <f>P42+Q42</f>
        <v>40410</v>
      </c>
      <c r="S42" s="314">
        <v>2024</v>
      </c>
      <c r="T42" s="108" t="s">
        <v>469</v>
      </c>
      <c r="U42" s="311" t="s">
        <v>14</v>
      </c>
    </row>
    <row r="43" spans="1:21" s="1" customFormat="1" ht="43.2" x14ac:dyDescent="0.3">
      <c r="A43" s="239">
        <v>32</v>
      </c>
      <c r="B43" s="263">
        <f t="shared" si="3"/>
        <v>41</v>
      </c>
      <c r="C43" s="256">
        <f>A43-B43</f>
        <v>-9</v>
      </c>
      <c r="D43" s="317" t="s">
        <v>97</v>
      </c>
      <c r="E43" s="108" t="s">
        <v>413</v>
      </c>
      <c r="F43" s="108" t="s">
        <v>423</v>
      </c>
      <c r="G43" s="318" t="s">
        <v>392</v>
      </c>
      <c r="H43" s="281">
        <v>6</v>
      </c>
      <c r="I43" s="281">
        <f>3+2+5+7+5+12</f>
        <v>34</v>
      </c>
      <c r="J43" s="239" t="s">
        <v>56</v>
      </c>
      <c r="K43" s="239" t="s">
        <v>57</v>
      </c>
      <c r="L43" s="239" t="s">
        <v>57</v>
      </c>
      <c r="M43" s="239" t="s">
        <v>57</v>
      </c>
      <c r="N43" s="282">
        <v>1.625</v>
      </c>
      <c r="O43" s="283">
        <v>1482</v>
      </c>
      <c r="P43" s="284">
        <f>13064-O43</f>
        <v>11582</v>
      </c>
      <c r="Q43" s="284">
        <v>14497</v>
      </c>
      <c r="R43" s="319">
        <f>O43+P43+Q43</f>
        <v>27561</v>
      </c>
      <c r="S43" s="239">
        <v>2024</v>
      </c>
      <c r="T43" s="306" t="s">
        <v>521</v>
      </c>
      <c r="U43" s="320" t="s">
        <v>310</v>
      </c>
    </row>
    <row r="44" spans="1:21" s="1" customFormat="1" ht="57.6" x14ac:dyDescent="0.3">
      <c r="A44" s="239">
        <v>43</v>
      </c>
      <c r="B44" s="263">
        <f t="shared" si="3"/>
        <v>42</v>
      </c>
      <c r="C44" s="256">
        <f>A44-B44</f>
        <v>1</v>
      </c>
      <c r="D44" s="141" t="s">
        <v>107</v>
      </c>
      <c r="E44" s="141" t="s">
        <v>61</v>
      </c>
      <c r="F44" s="141"/>
      <c r="G44" s="108" t="s">
        <v>436</v>
      </c>
      <c r="H44" s="141">
        <v>27</v>
      </c>
      <c r="I44" s="141">
        <v>123</v>
      </c>
      <c r="J44" s="268" t="s">
        <v>62</v>
      </c>
      <c r="K44" s="141"/>
      <c r="L44" s="268" t="s">
        <v>57</v>
      </c>
      <c r="M44" s="268"/>
      <c r="N44" s="271">
        <f>1.391*1.167</f>
        <v>1.623297</v>
      </c>
      <c r="O44" s="374"/>
      <c r="P44" s="360">
        <v>26601</v>
      </c>
      <c r="Q44" s="360">
        <v>31395</v>
      </c>
      <c r="R44" s="365">
        <f>+Q44+P44</f>
        <v>57996</v>
      </c>
      <c r="S44" s="268" t="s">
        <v>391</v>
      </c>
      <c r="T44" s="108" t="s">
        <v>108</v>
      </c>
      <c r="U44" s="142" t="s">
        <v>500</v>
      </c>
    </row>
    <row r="45" spans="1:21" s="1" customFormat="1" ht="72" x14ac:dyDescent="0.25">
      <c r="A45" s="239">
        <v>48</v>
      </c>
      <c r="B45" s="263">
        <f t="shared" si="3"/>
        <v>43</v>
      </c>
      <c r="C45" s="256">
        <f>A45-B45</f>
        <v>5</v>
      </c>
      <c r="D45" s="108" t="s">
        <v>110</v>
      </c>
      <c r="E45" s="141" t="s">
        <v>111</v>
      </c>
      <c r="F45" s="141"/>
      <c r="G45" s="108" t="s">
        <v>491</v>
      </c>
      <c r="H45" s="108">
        <v>35</v>
      </c>
      <c r="I45" s="108">
        <v>154</v>
      </c>
      <c r="J45" s="268" t="s">
        <v>62</v>
      </c>
      <c r="K45" s="268"/>
      <c r="L45" s="268" t="s">
        <v>57</v>
      </c>
      <c r="M45" s="268" t="s">
        <v>57</v>
      </c>
      <c r="N45" s="274">
        <v>1.607</v>
      </c>
      <c r="O45" s="265"/>
      <c r="P45" s="266">
        <v>29802</v>
      </c>
      <c r="Q45" s="266">
        <v>10456</v>
      </c>
      <c r="R45" s="266">
        <f>P45+Q45</f>
        <v>40258</v>
      </c>
      <c r="S45" s="268">
        <v>2024</v>
      </c>
      <c r="T45" s="108" t="s">
        <v>110</v>
      </c>
      <c r="U45" s="321" t="s">
        <v>14</v>
      </c>
    </row>
    <row r="46" spans="1:21" s="1" customFormat="1" ht="129.6" customHeight="1" x14ac:dyDescent="0.3">
      <c r="A46" s="239" t="s">
        <v>535</v>
      </c>
      <c r="B46" s="263">
        <f t="shared" si="3"/>
        <v>44</v>
      </c>
      <c r="C46" s="256"/>
      <c r="D46" s="108" t="s">
        <v>488</v>
      </c>
      <c r="E46" s="141" t="s">
        <v>86</v>
      </c>
      <c r="F46" s="141" t="s">
        <v>99</v>
      </c>
      <c r="G46" s="108" t="s">
        <v>490</v>
      </c>
      <c r="H46" s="108">
        <v>20</v>
      </c>
      <c r="I46" s="108">
        <v>92</v>
      </c>
      <c r="J46" s="268" t="s">
        <v>56</v>
      </c>
      <c r="K46" s="268"/>
      <c r="L46" s="268" t="s">
        <v>57</v>
      </c>
      <c r="M46" s="268" t="s">
        <v>57</v>
      </c>
      <c r="N46" s="274">
        <v>1.6</v>
      </c>
      <c r="O46" s="265"/>
      <c r="P46" s="266">
        <v>33500</v>
      </c>
      <c r="Q46" s="266">
        <v>24500</v>
      </c>
      <c r="R46" s="266">
        <f>P46+Q46</f>
        <v>58000</v>
      </c>
      <c r="S46" s="268">
        <v>2024</v>
      </c>
      <c r="T46" s="108" t="s">
        <v>489</v>
      </c>
      <c r="U46" s="315"/>
    </row>
    <row r="47" spans="1:21" s="1" customFormat="1" ht="57.6" x14ac:dyDescent="0.3">
      <c r="A47" s="239">
        <v>44</v>
      </c>
      <c r="B47" s="263">
        <f t="shared" si="3"/>
        <v>45</v>
      </c>
      <c r="C47" s="256">
        <f t="shared" ref="C47:C52" si="4">A47-B47</f>
        <v>-1</v>
      </c>
      <c r="D47" s="108" t="s">
        <v>105</v>
      </c>
      <c r="E47" s="141" t="s">
        <v>61</v>
      </c>
      <c r="F47" s="141"/>
      <c r="G47" s="108" t="s">
        <v>529</v>
      </c>
      <c r="H47" s="108">
        <v>19</v>
      </c>
      <c r="I47" s="108">
        <v>55</v>
      </c>
      <c r="J47" s="268" t="s">
        <v>62</v>
      </c>
      <c r="K47" s="268"/>
      <c r="L47" s="268" t="s">
        <v>57</v>
      </c>
      <c r="M47" s="268"/>
      <c r="N47" s="274">
        <f>1.3395*1.181</f>
        <v>1.5819494999999999</v>
      </c>
      <c r="O47" s="265" t="s">
        <v>14</v>
      </c>
      <c r="P47" s="358">
        <v>26000</v>
      </c>
      <c r="Q47" s="358">
        <v>18700</v>
      </c>
      <c r="R47" s="358">
        <f>P47+Q47</f>
        <v>44700</v>
      </c>
      <c r="S47" s="268" t="s">
        <v>530</v>
      </c>
      <c r="T47" s="108" t="s">
        <v>531</v>
      </c>
      <c r="U47" s="296" t="s">
        <v>532</v>
      </c>
    </row>
    <row r="48" spans="1:21" s="1" customFormat="1" ht="72" customHeight="1" x14ac:dyDescent="0.3">
      <c r="A48" s="322">
        <v>40</v>
      </c>
      <c r="B48" s="263">
        <f t="shared" si="3"/>
        <v>46</v>
      </c>
      <c r="C48" s="256">
        <f t="shared" si="4"/>
        <v>-6</v>
      </c>
      <c r="D48" s="317" t="s">
        <v>95</v>
      </c>
      <c r="E48" s="323" t="s">
        <v>61</v>
      </c>
      <c r="F48" s="323"/>
      <c r="G48" s="318" t="s">
        <v>378</v>
      </c>
      <c r="H48" s="281">
        <v>16</v>
      </c>
      <c r="I48" s="281">
        <v>44</v>
      </c>
      <c r="J48" s="239" t="s">
        <v>62</v>
      </c>
      <c r="K48" s="323"/>
      <c r="L48" s="239" t="s">
        <v>57</v>
      </c>
      <c r="M48" s="239"/>
      <c r="N48" s="282">
        <f>1.335*1.181</f>
        <v>1.576635</v>
      </c>
      <c r="O48" s="324"/>
      <c r="P48" s="325">
        <v>20250</v>
      </c>
      <c r="Q48" s="325">
        <v>18850</v>
      </c>
      <c r="R48" s="325">
        <v>39100</v>
      </c>
      <c r="S48" s="239">
        <v>2024</v>
      </c>
      <c r="T48" s="306" t="s">
        <v>311</v>
      </c>
      <c r="U48" s="320" t="s">
        <v>464</v>
      </c>
    </row>
    <row r="49" spans="1:21" s="1" customFormat="1" ht="57.6" x14ac:dyDescent="0.3">
      <c r="A49" s="268">
        <v>38</v>
      </c>
      <c r="B49" s="263">
        <f t="shared" si="3"/>
        <v>47</v>
      </c>
      <c r="C49" s="256">
        <f t="shared" si="4"/>
        <v>-9</v>
      </c>
      <c r="D49" s="108" t="s">
        <v>325</v>
      </c>
      <c r="E49" s="108" t="s">
        <v>79</v>
      </c>
      <c r="F49" s="108"/>
      <c r="G49" s="108" t="s">
        <v>374</v>
      </c>
      <c r="H49" s="108">
        <v>6</v>
      </c>
      <c r="I49" s="108">
        <v>52</v>
      </c>
      <c r="J49" s="268" t="s">
        <v>62</v>
      </c>
      <c r="K49" s="141"/>
      <c r="L49" s="268" t="s">
        <v>57</v>
      </c>
      <c r="M49" s="300"/>
      <c r="N49" s="307">
        <v>1.57</v>
      </c>
      <c r="O49" s="374"/>
      <c r="P49" s="266">
        <v>19958</v>
      </c>
      <c r="Q49" s="361">
        <v>20421</v>
      </c>
      <c r="R49" s="266">
        <f>P49+Q49</f>
        <v>40379</v>
      </c>
      <c r="S49" s="268">
        <v>2024</v>
      </c>
      <c r="T49" s="108" t="s">
        <v>469</v>
      </c>
      <c r="U49" s="315" t="s">
        <v>14</v>
      </c>
    </row>
    <row r="50" spans="1:21" s="1" customFormat="1" ht="44.4" x14ac:dyDescent="0.3">
      <c r="A50" s="239">
        <v>42</v>
      </c>
      <c r="B50" s="263">
        <f t="shared" si="3"/>
        <v>48</v>
      </c>
      <c r="C50" s="326">
        <f t="shared" si="4"/>
        <v>-6</v>
      </c>
      <c r="D50" s="110" t="s">
        <v>90</v>
      </c>
      <c r="E50" s="110" t="s">
        <v>146</v>
      </c>
      <c r="F50" s="110" t="s">
        <v>430</v>
      </c>
      <c r="G50" s="110" t="s">
        <v>376</v>
      </c>
      <c r="H50" s="327">
        <v>18</v>
      </c>
      <c r="I50" s="328">
        <v>93</v>
      </c>
      <c r="J50" s="329" t="s">
        <v>56</v>
      </c>
      <c r="K50" s="330"/>
      <c r="L50" s="329" t="s">
        <v>172</v>
      </c>
      <c r="M50" s="330"/>
      <c r="N50" s="295">
        <v>1.512</v>
      </c>
      <c r="O50" s="378"/>
      <c r="P50" s="313">
        <v>19817</v>
      </c>
      <c r="Q50" s="364">
        <v>9101</v>
      </c>
      <c r="R50" s="366">
        <v>28918</v>
      </c>
      <c r="S50" s="153">
        <v>2024</v>
      </c>
      <c r="T50" s="306" t="s">
        <v>462</v>
      </c>
      <c r="U50" s="331" t="s">
        <v>14</v>
      </c>
    </row>
    <row r="51" spans="1:21" s="1" customFormat="1" ht="57.6" x14ac:dyDescent="0.3">
      <c r="A51" s="239">
        <v>49</v>
      </c>
      <c r="B51" s="263">
        <f t="shared" si="3"/>
        <v>49</v>
      </c>
      <c r="C51" s="332">
        <f t="shared" si="4"/>
        <v>0</v>
      </c>
      <c r="D51" s="108" t="s">
        <v>104</v>
      </c>
      <c r="E51" s="108" t="s">
        <v>79</v>
      </c>
      <c r="F51" s="108" t="s">
        <v>55</v>
      </c>
      <c r="G51" s="108" t="s">
        <v>375</v>
      </c>
      <c r="H51" s="108">
        <v>8</v>
      </c>
      <c r="I51" s="108">
        <v>44</v>
      </c>
      <c r="J51" s="314" t="s">
        <v>56</v>
      </c>
      <c r="K51" s="316"/>
      <c r="L51" s="314" t="s">
        <v>57</v>
      </c>
      <c r="M51" s="333"/>
      <c r="N51" s="307">
        <v>1.504</v>
      </c>
      <c r="O51" s="374"/>
      <c r="P51" s="266">
        <v>13263</v>
      </c>
      <c r="Q51" s="361">
        <v>9914</v>
      </c>
      <c r="R51" s="266">
        <f>P51+Q51</f>
        <v>23177</v>
      </c>
      <c r="S51" s="268">
        <v>2024</v>
      </c>
      <c r="T51" s="108" t="s">
        <v>469</v>
      </c>
      <c r="U51" s="315" t="s">
        <v>14</v>
      </c>
    </row>
    <row r="52" spans="1:21" s="1" customFormat="1" ht="57.6" x14ac:dyDescent="0.3">
      <c r="A52" s="268">
        <v>35</v>
      </c>
      <c r="B52" s="263">
        <f t="shared" si="3"/>
        <v>50</v>
      </c>
      <c r="C52" s="332">
        <f t="shared" si="4"/>
        <v>-15</v>
      </c>
      <c r="D52" s="108" t="s">
        <v>84</v>
      </c>
      <c r="E52" s="141" t="s">
        <v>73</v>
      </c>
      <c r="F52" s="141"/>
      <c r="G52" s="108" t="s">
        <v>506</v>
      </c>
      <c r="H52" s="141">
        <v>15</v>
      </c>
      <c r="I52" s="334">
        <v>135</v>
      </c>
      <c r="J52" s="314" t="s">
        <v>62</v>
      </c>
      <c r="K52" s="314" t="s">
        <v>57</v>
      </c>
      <c r="L52" s="314" t="s">
        <v>57</v>
      </c>
      <c r="M52" s="314" t="s">
        <v>57</v>
      </c>
      <c r="N52" s="274">
        <f>17.373*0.085955</f>
        <v>1.4932962150000002</v>
      </c>
      <c r="O52" s="373">
        <v>8480</v>
      </c>
      <c r="P52" s="267">
        <v>8836</v>
      </c>
      <c r="Q52" s="267">
        <v>11040</v>
      </c>
      <c r="R52" s="266">
        <f>O52+P52+Q52</f>
        <v>28356</v>
      </c>
      <c r="S52" s="268">
        <v>2024</v>
      </c>
      <c r="T52" s="108" t="s">
        <v>85</v>
      </c>
      <c r="U52" s="353" t="s">
        <v>576</v>
      </c>
    </row>
    <row r="53" spans="1:21" ht="15" thickBot="1" x14ac:dyDescent="0.35">
      <c r="A53" s="104" t="s">
        <v>409</v>
      </c>
      <c r="C53" s="115">
        <f>COUNTIF(C$3:C$50,0)</f>
        <v>9</v>
      </c>
      <c r="D53" s="335" t="s">
        <v>115</v>
      </c>
      <c r="E53" s="336"/>
      <c r="F53" s="336"/>
      <c r="G53" s="337"/>
      <c r="H53" s="338">
        <f>AVERAGE(H3:H52)</f>
        <v>20.36</v>
      </c>
      <c r="I53" s="338">
        <f>AVERAGE(I3:I52)</f>
        <v>162.52000000000001</v>
      </c>
      <c r="J53" s="337" t="s">
        <v>14</v>
      </c>
      <c r="K53" s="337"/>
      <c r="L53" s="339"/>
      <c r="M53" s="339"/>
      <c r="N53" s="274">
        <f>AVERAGE(N3:N52)</f>
        <v>3.4129416969919988</v>
      </c>
      <c r="O53" s="367"/>
      <c r="P53" s="367">
        <f>AVERAGE(P3:P52)</f>
        <v>48007.44</v>
      </c>
      <c r="Q53" s="367">
        <f>AVERAGE(Q3:Q52)</f>
        <v>43321.22</v>
      </c>
      <c r="R53" s="367">
        <f>AVERAGE(R3:R52)</f>
        <v>102952.44</v>
      </c>
      <c r="S53" s="338" t="s">
        <v>14</v>
      </c>
      <c r="T53" s="337"/>
      <c r="U53" s="340"/>
    </row>
    <row r="54" spans="1:21" x14ac:dyDescent="0.3">
      <c r="A54" s="104" t="s">
        <v>410</v>
      </c>
      <c r="C54" s="115">
        <f>COUNTIFS(C$3:C$50,"&gt;5")</f>
        <v>8</v>
      </c>
      <c r="D54" s="341" t="s">
        <v>113</v>
      </c>
      <c r="E54" s="104"/>
      <c r="F54" s="104"/>
      <c r="G54" s="112" t="s">
        <v>14</v>
      </c>
      <c r="H54" s="342">
        <f>AVERAGE(H3:H12)</f>
        <v>32</v>
      </c>
      <c r="I54" s="342">
        <f>AVERAGE(I3:I12)</f>
        <v>327.8</v>
      </c>
      <c r="J54" s="343"/>
      <c r="K54" s="343"/>
      <c r="L54" s="343"/>
      <c r="M54" s="343"/>
      <c r="N54" s="274">
        <f>AVERAGE(N3:N12)</f>
        <v>7.622508226059999</v>
      </c>
      <c r="O54" s="377"/>
      <c r="P54" s="368">
        <f>AVERAGE(P3:P12)</f>
        <v>100045.1</v>
      </c>
      <c r="Q54" s="368">
        <f>AVERAGE(Q3:Q12)</f>
        <v>101529.60000000001</v>
      </c>
      <c r="R54" s="368">
        <f>AVERAGE(R3:R12)</f>
        <v>238552.2</v>
      </c>
      <c r="S54" s="104"/>
      <c r="T54" s="112"/>
      <c r="U54" s="344"/>
    </row>
    <row r="55" spans="1:21" x14ac:dyDescent="0.3">
      <c r="A55" t="s">
        <v>411</v>
      </c>
      <c r="B55" s="112"/>
      <c r="C55" s="115">
        <f>COUNTIFS(C$3:C$50,"&lt;-5")</f>
        <v>4</v>
      </c>
      <c r="D55" s="345" t="s">
        <v>114</v>
      </c>
      <c r="E55" s="104"/>
      <c r="F55" s="104"/>
      <c r="G55" s="112"/>
      <c r="H55" s="298">
        <f>AVERAGE(H3:H27)</f>
        <v>24.04</v>
      </c>
      <c r="I55" s="298">
        <f>AVERAGE(I3:I27)</f>
        <v>219.52</v>
      </c>
      <c r="J55" s="343"/>
      <c r="K55" s="343"/>
      <c r="L55" s="343"/>
      <c r="M55" s="343"/>
      <c r="N55" s="274">
        <f>AVERAGE(N3:N27)</f>
        <v>5.0464053063439991</v>
      </c>
      <c r="O55" s="377"/>
      <c r="P55" s="267">
        <f>AVERAGE(P3:P27)</f>
        <v>68983.8</v>
      </c>
      <c r="Q55" s="267">
        <f>AVERAGE(Q3:Q27)</f>
        <v>65539.600000000006</v>
      </c>
      <c r="R55" s="267">
        <f>AVERAGE(R3:R27)</f>
        <v>157372.48000000001</v>
      </c>
      <c r="S55" s="104"/>
      <c r="T55" s="112"/>
      <c r="U55" s="344"/>
    </row>
    <row r="56" spans="1:21" x14ac:dyDescent="0.3">
      <c r="A56" t="s">
        <v>577</v>
      </c>
      <c r="B56" s="112"/>
      <c r="C56" s="382">
        <f>COUNTIF(A3:A52,"New")</f>
        <v>4</v>
      </c>
      <c r="D56" s="345" t="s">
        <v>116</v>
      </c>
      <c r="E56" s="104"/>
      <c r="F56" s="104"/>
      <c r="G56" s="112"/>
      <c r="H56" s="298">
        <f>AVERAGE(H13:H27)</f>
        <v>18.733333333333334</v>
      </c>
      <c r="I56" s="298">
        <f>AVERAGE(I13:I27)</f>
        <v>147.33333333333334</v>
      </c>
      <c r="J56" s="343"/>
      <c r="K56" s="343"/>
      <c r="L56" s="343"/>
      <c r="M56" s="343"/>
      <c r="N56" s="274">
        <f>AVERAGE(N13:N27)</f>
        <v>3.3290033598666673</v>
      </c>
      <c r="O56" s="377"/>
      <c r="P56" s="267">
        <f>AVERAGE(P13:P27)</f>
        <v>48276.26666666667</v>
      </c>
      <c r="Q56" s="267">
        <f>AVERAGE(Q13:Q27)</f>
        <v>41546.26666666667</v>
      </c>
      <c r="R56" s="267">
        <f>AVERAGE(R13:R27)</f>
        <v>103252.66666666667</v>
      </c>
      <c r="S56" s="104"/>
      <c r="T56" s="112"/>
      <c r="U56" s="344"/>
    </row>
    <row r="57" spans="1:21" ht="15" thickBot="1" x14ac:dyDescent="0.35">
      <c r="B57" s="112"/>
      <c r="C57" s="112"/>
      <c r="D57" s="346" t="s">
        <v>117</v>
      </c>
      <c r="G57" s="112"/>
      <c r="H57" s="298">
        <f>AVERAGE(H28:H52)</f>
        <v>16.68</v>
      </c>
      <c r="I57" s="298">
        <f>AVERAGE(I28:I52)</f>
        <v>105.52</v>
      </c>
      <c r="J57" s="343"/>
      <c r="K57" s="343"/>
      <c r="L57" s="343"/>
      <c r="M57" s="343"/>
      <c r="N57" s="274">
        <f>AVERAGE(N28:N52)</f>
        <v>1.77947808764</v>
      </c>
      <c r="O57" s="377"/>
      <c r="P57" s="267">
        <f>AVERAGE(P28:P52)</f>
        <v>27031.08</v>
      </c>
      <c r="Q57" s="267">
        <f>AVERAGE(Q28:Q52)</f>
        <v>21102.84</v>
      </c>
      <c r="R57" s="267">
        <f>AVERAGE(R28:R52)</f>
        <v>48532.4</v>
      </c>
      <c r="S57" s="104"/>
      <c r="T57" s="112"/>
      <c r="U57" s="344"/>
    </row>
    <row r="59" spans="1:21" ht="57.6" x14ac:dyDescent="0.3">
      <c r="D59" s="116" t="s">
        <v>118</v>
      </c>
      <c r="N59" s="107" t="s">
        <v>514</v>
      </c>
      <c r="P59" s="369">
        <f>SUM(P3:P52)</f>
        <v>2400372</v>
      </c>
    </row>
    <row r="60" spans="1:21" ht="57.6" x14ac:dyDescent="0.3">
      <c r="N60" s="107" t="s">
        <v>515</v>
      </c>
      <c r="P60" s="369">
        <f>SUM(P3:P27)</f>
        <v>1724595</v>
      </c>
    </row>
    <row r="61" spans="1:21" ht="57.6" x14ac:dyDescent="0.3">
      <c r="N61" s="107" t="s">
        <v>516</v>
      </c>
      <c r="P61" s="369">
        <f>SUM(P3:P12)</f>
        <v>1000451</v>
      </c>
    </row>
    <row r="62" spans="1:21" ht="43.2" x14ac:dyDescent="0.3">
      <c r="N62" s="107" t="s">
        <v>517</v>
      </c>
      <c r="P62" s="369">
        <f>SUM(P29:P52)</f>
        <v>646623</v>
      </c>
    </row>
    <row r="64" spans="1:21" x14ac:dyDescent="0.3">
      <c r="N64" s="238"/>
    </row>
  </sheetData>
  <autoFilter ref="A2:U57" xr:uid="{00000000-0009-0000-0000-000001000000}"/>
  <sortState xmlns:xlrd2="http://schemas.microsoft.com/office/spreadsheetml/2017/richdata2" ref="A2:U60">
    <sortCondition descending="1" ref="N2:N60"/>
  </sortState>
  <hyperlinks>
    <hyperlink ref="U7" r:id="rId1" display="https://automotive-online.nl/management/laatste-nieuws/merkkanaal/29448-van-mossel-realiseert-recordwinst-in-2020?utm_medium=email&amp;utm_source=transactional&amp;utm_campaign=newsletter_1828" xr:uid="{00000000-0004-0000-0100-000000000000}"/>
    <hyperlink ref="U51" r:id="rId2" display="https://www.automobilwoche.de/autohandel/top-100-autohandler-die-grossen-autohausgruppen-wachsen-weiter" xr:uid="{00000000-0004-0000-0100-000001000000}"/>
    <hyperlink ref="U32" r:id="rId3" display="https://www.alphartis.com" xr:uid="{00000000-0004-0000-0100-000002000000}"/>
    <hyperlink ref="U26" r:id="rId4" display="https://www.gottfried-schultz.de/; 2022 revenue from wikipedia" xr:uid="{00000000-0004-0000-0100-000003000000}"/>
    <hyperlink ref="U49" r:id="rId5" display="https://www.automobilwoche.de/autohandel/top-100-autohandler-die-grossen-autohausgruppen-wachsen-weiter" xr:uid="{00000000-0004-0000-0100-000004000000}"/>
    <hyperlink ref="U40" r:id="rId6" display="https://www.automobilwoche.de/autohandel/top-100-autohandler-die-grossen-autohausgruppen-wachsen-weiter" xr:uid="{00000000-0004-0000-0100-000005000000}"/>
  </hyperlinks>
  <pageMargins left="0.7" right="0.7" top="0.75" bottom="0.75" header="0.3" footer="0.3"/>
  <pageSetup paperSize="9" orientation="portrait" r:id="rId7"/>
  <legacy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4"/>
  <sheetViews>
    <sheetView tabSelected="1" topLeftCell="E1" zoomScale="72" zoomScaleNormal="72" workbookViewId="0">
      <pane ySplit="1056" topLeftCell="A5" activePane="bottomLeft"/>
      <selection activeCell="A2" sqref="A2"/>
      <selection pane="bottomLeft" activeCell="A7" sqref="A4:XFD7"/>
    </sheetView>
  </sheetViews>
  <sheetFormatPr defaultColWidth="8.77734375" defaultRowHeight="14.4" x14ac:dyDescent="0.3"/>
  <cols>
    <col min="1" max="1" width="46.77734375" style="114" bestFit="1" customWidth="1"/>
    <col min="2" max="2" width="9.5546875" style="114" customWidth="1"/>
    <col min="3" max="3" width="15.5546875" style="107" customWidth="1"/>
    <col min="4" max="4" width="19.77734375" style="114" customWidth="1"/>
    <col min="5" max="8" width="8.77734375" style="114"/>
    <col min="9" max="9" width="10.5546875" style="350" customWidth="1"/>
    <col min="10" max="10" width="10.21875" style="114" customWidth="1"/>
    <col min="11" max="11" width="11" style="351" customWidth="1"/>
    <col min="12" max="12" width="10.77734375" style="351" customWidth="1"/>
    <col min="13" max="13" width="11" style="351" customWidth="1"/>
    <col min="14" max="14" width="10.44140625" style="351" customWidth="1"/>
    <col min="15" max="15" width="8.77734375" style="351"/>
    <col min="16" max="16" width="57.5546875" style="114" bestFit="1" customWidth="1"/>
    <col min="17" max="17" width="24.44140625" style="114" bestFit="1" customWidth="1"/>
    <col min="18" max="18" width="36.21875" style="114" customWidth="1"/>
    <col min="19" max="16384" width="8.77734375" style="114"/>
  </cols>
  <sheetData>
    <row r="1" spans="1:18" ht="15" thickBot="1" x14ac:dyDescent="0.35">
      <c r="A1" s="145" t="s">
        <v>528</v>
      </c>
      <c r="B1" s="146"/>
      <c r="C1" s="147"/>
      <c r="D1" s="146"/>
      <c r="E1" s="146"/>
      <c r="F1" s="146"/>
      <c r="G1" s="146"/>
      <c r="H1" s="146"/>
      <c r="I1" s="148"/>
      <c r="J1" s="146"/>
      <c r="K1" s="149"/>
      <c r="L1" s="149"/>
      <c r="M1" s="149"/>
      <c r="N1" s="149"/>
      <c r="O1" s="149"/>
      <c r="P1" s="146"/>
      <c r="Q1" s="146"/>
      <c r="R1" s="150"/>
    </row>
    <row r="2" spans="1:18" s="348" customFormat="1" ht="43.8" thickBot="1" x14ac:dyDescent="0.35">
      <c r="A2" s="179" t="s">
        <v>119</v>
      </c>
      <c r="B2" s="180" t="s">
        <v>120</v>
      </c>
      <c r="C2" s="180" t="s">
        <v>121</v>
      </c>
      <c r="D2" s="180" t="s">
        <v>40</v>
      </c>
      <c r="E2" s="180" t="s">
        <v>42</v>
      </c>
      <c r="F2" s="181" t="s">
        <v>43</v>
      </c>
      <c r="G2" s="181" t="s">
        <v>44</v>
      </c>
      <c r="H2" s="181" t="s">
        <v>45</v>
      </c>
      <c r="I2" s="182" t="s">
        <v>46</v>
      </c>
      <c r="J2" s="180" t="s">
        <v>47</v>
      </c>
      <c r="K2" s="180" t="s">
        <v>48</v>
      </c>
      <c r="L2" s="180" t="s">
        <v>122</v>
      </c>
      <c r="M2" s="180" t="s">
        <v>49</v>
      </c>
      <c r="N2" s="180" t="s">
        <v>123</v>
      </c>
      <c r="O2" s="181" t="s">
        <v>51</v>
      </c>
      <c r="P2" s="181" t="s">
        <v>124</v>
      </c>
      <c r="Q2" s="181" t="s">
        <v>53</v>
      </c>
      <c r="R2" s="183" t="s">
        <v>125</v>
      </c>
    </row>
    <row r="3" spans="1:18" x14ac:dyDescent="0.3">
      <c r="A3" s="493" t="s">
        <v>126</v>
      </c>
      <c r="B3" s="494"/>
      <c r="C3" s="494"/>
      <c r="D3" s="494"/>
      <c r="E3" s="494"/>
      <c r="F3" s="494"/>
      <c r="G3" s="494"/>
      <c r="H3" s="494"/>
      <c r="I3" s="494"/>
      <c r="J3" s="494"/>
      <c r="K3" s="494"/>
      <c r="L3" s="494"/>
      <c r="M3" s="494"/>
      <c r="N3" s="494"/>
      <c r="O3" s="494"/>
      <c r="P3" s="494"/>
      <c r="Q3" s="494"/>
      <c r="R3" s="495"/>
    </row>
    <row r="4" spans="1:18" s="112" customFormat="1" x14ac:dyDescent="0.3">
      <c r="A4" s="485" t="s">
        <v>127</v>
      </c>
      <c r="B4" s="108" t="s">
        <v>79</v>
      </c>
      <c r="C4" s="151"/>
      <c r="D4" s="151" t="s">
        <v>128</v>
      </c>
      <c r="E4" s="151">
        <f>34+28</f>
        <v>62</v>
      </c>
      <c r="F4" s="113"/>
      <c r="G4" s="113" t="s">
        <v>57</v>
      </c>
      <c r="H4" s="113"/>
      <c r="I4" s="486" t="s">
        <v>129</v>
      </c>
      <c r="J4" s="151"/>
      <c r="K4" s="152"/>
      <c r="L4" s="463">
        <v>56000</v>
      </c>
      <c r="M4" s="152"/>
      <c r="N4" s="152"/>
      <c r="O4" s="152">
        <v>2024</v>
      </c>
      <c r="P4" s="108" t="s">
        <v>578</v>
      </c>
      <c r="Q4" s="151" t="s">
        <v>579</v>
      </c>
      <c r="R4" s="111" t="s">
        <v>14</v>
      </c>
    </row>
    <row r="5" spans="1:18" s="112" customFormat="1" x14ac:dyDescent="0.3">
      <c r="A5" s="485" t="s">
        <v>130</v>
      </c>
      <c r="B5" s="108" t="s">
        <v>61</v>
      </c>
      <c r="C5" s="151"/>
      <c r="D5" s="151" t="s">
        <v>128</v>
      </c>
      <c r="E5" s="151">
        <v>2</v>
      </c>
      <c r="F5" s="113"/>
      <c r="G5" s="113" t="s">
        <v>57</v>
      </c>
      <c r="H5" s="113"/>
      <c r="I5" s="487">
        <f>0.196701*1.149</f>
        <v>0.226009449</v>
      </c>
      <c r="J5" s="151"/>
      <c r="K5" s="152">
        <f>3179+1089+509</f>
        <v>4777</v>
      </c>
      <c r="L5" s="152">
        <v>4777</v>
      </c>
      <c r="M5" s="152" t="s">
        <v>129</v>
      </c>
      <c r="N5" s="152"/>
      <c r="O5" s="152">
        <v>2023</v>
      </c>
      <c r="P5" s="151" t="s">
        <v>108</v>
      </c>
      <c r="Q5" s="151" t="s">
        <v>394</v>
      </c>
      <c r="R5" s="111" t="s">
        <v>395</v>
      </c>
    </row>
    <row r="6" spans="1:18" s="112" customFormat="1" x14ac:dyDescent="0.3">
      <c r="A6" s="488" t="s">
        <v>131</v>
      </c>
      <c r="B6" s="110" t="s">
        <v>99</v>
      </c>
      <c r="C6" s="151"/>
      <c r="D6" s="108" t="s">
        <v>128</v>
      </c>
      <c r="E6" s="108">
        <v>5</v>
      </c>
      <c r="F6" s="108"/>
      <c r="G6" s="153" t="s">
        <v>57</v>
      </c>
      <c r="H6" s="110"/>
      <c r="I6" s="489">
        <v>1.1859999999999999</v>
      </c>
      <c r="J6" s="108"/>
      <c r="K6" s="108">
        <v>24642</v>
      </c>
      <c r="L6" s="309">
        <v>24642</v>
      </c>
      <c r="M6" s="108">
        <v>2430</v>
      </c>
      <c r="N6" s="152">
        <f>+M6+L6</f>
        <v>27072</v>
      </c>
      <c r="O6" s="108">
        <v>2024</v>
      </c>
      <c r="P6" s="108" t="s">
        <v>544</v>
      </c>
      <c r="Q6" s="110" t="s">
        <v>545</v>
      </c>
      <c r="R6" s="490" t="s">
        <v>546</v>
      </c>
    </row>
    <row r="7" spans="1:18" s="112" customFormat="1" ht="29.4" thickBot="1" x14ac:dyDescent="0.35">
      <c r="A7" s="485" t="s">
        <v>132</v>
      </c>
      <c r="B7" s="108" t="s">
        <v>86</v>
      </c>
      <c r="C7" s="151"/>
      <c r="D7" s="151" t="s">
        <v>128</v>
      </c>
      <c r="E7" s="151">
        <v>4</v>
      </c>
      <c r="F7" s="113"/>
      <c r="G7" s="113" t="s">
        <v>57</v>
      </c>
      <c r="H7" s="113"/>
      <c r="I7" s="491">
        <v>0.314</v>
      </c>
      <c r="J7" s="151"/>
      <c r="K7" s="152">
        <v>5400</v>
      </c>
      <c r="L7" s="152">
        <f>+K7+J7</f>
        <v>5400</v>
      </c>
      <c r="M7" s="152" t="s">
        <v>129</v>
      </c>
      <c r="N7" s="152"/>
      <c r="O7" s="152">
        <v>2024</v>
      </c>
      <c r="P7" s="151" t="s">
        <v>558</v>
      </c>
      <c r="Q7" s="151" t="s">
        <v>559</v>
      </c>
      <c r="R7" s="111" t="s">
        <v>560</v>
      </c>
    </row>
    <row r="8" spans="1:18" s="112" customFormat="1" ht="15" thickBot="1" x14ac:dyDescent="0.35">
      <c r="A8" s="502"/>
      <c r="B8" s="503"/>
      <c r="C8" s="503"/>
      <c r="D8" s="503"/>
      <c r="E8" s="503"/>
      <c r="F8" s="503"/>
      <c r="G8" s="503"/>
      <c r="H8" s="503"/>
      <c r="I8" s="503"/>
      <c r="J8" s="503"/>
      <c r="K8" s="503"/>
      <c r="L8" s="503"/>
      <c r="M8" s="503"/>
      <c r="N8" s="503"/>
      <c r="O8" s="503"/>
      <c r="P8" s="503"/>
      <c r="Q8" s="503"/>
      <c r="R8" s="504"/>
    </row>
    <row r="9" spans="1:18" s="112" customFormat="1" ht="15" thickBot="1" x14ac:dyDescent="0.35">
      <c r="A9" s="493" t="s">
        <v>133</v>
      </c>
      <c r="B9" s="494"/>
      <c r="C9" s="494"/>
      <c r="D9" s="494"/>
      <c r="E9" s="494"/>
      <c r="F9" s="494"/>
      <c r="G9" s="494"/>
      <c r="H9" s="494"/>
      <c r="I9" s="494"/>
      <c r="J9" s="494"/>
      <c r="K9" s="494"/>
      <c r="L9" s="494"/>
      <c r="M9" s="494"/>
      <c r="N9" s="494"/>
      <c r="O9" s="494"/>
      <c r="P9" s="494"/>
      <c r="Q9" s="494"/>
      <c r="R9" s="495"/>
    </row>
    <row r="10" spans="1:18" s="112" customFormat="1" ht="29.4" thickBot="1" x14ac:dyDescent="0.35">
      <c r="A10" s="477" t="s">
        <v>134</v>
      </c>
      <c r="B10" s="478" t="s">
        <v>61</v>
      </c>
      <c r="C10" s="479"/>
      <c r="D10" s="479" t="s">
        <v>135</v>
      </c>
      <c r="E10" s="479">
        <v>49</v>
      </c>
      <c r="F10" s="480"/>
      <c r="G10" s="480" t="s">
        <v>57</v>
      </c>
      <c r="H10" s="480"/>
      <c r="I10" s="481">
        <f>2.158*1.181</f>
        <v>2.5485980000000001</v>
      </c>
      <c r="J10" s="479"/>
      <c r="K10" s="482">
        <v>66950</v>
      </c>
      <c r="L10" s="482">
        <v>66950</v>
      </c>
      <c r="M10" s="483">
        <v>27000</v>
      </c>
      <c r="N10" s="482">
        <f>L10+M10</f>
        <v>93950</v>
      </c>
      <c r="O10" s="482">
        <v>2024</v>
      </c>
      <c r="P10" s="479" t="s">
        <v>388</v>
      </c>
      <c r="Q10" s="479" t="s">
        <v>507</v>
      </c>
      <c r="R10" s="484" t="s">
        <v>508</v>
      </c>
    </row>
    <row r="11" spans="1:18" s="112" customFormat="1" ht="15" thickBot="1" x14ac:dyDescent="0.35">
      <c r="A11" s="502"/>
      <c r="B11" s="503"/>
      <c r="C11" s="503"/>
      <c r="D11" s="503"/>
      <c r="E11" s="503"/>
      <c r="F11" s="503"/>
      <c r="G11" s="503"/>
      <c r="H11" s="503"/>
      <c r="I11" s="503"/>
      <c r="J11" s="503"/>
      <c r="K11" s="503"/>
      <c r="L11" s="503"/>
      <c r="M11" s="503"/>
      <c r="N11" s="503"/>
      <c r="O11" s="503"/>
      <c r="P11" s="503"/>
      <c r="Q11" s="503"/>
      <c r="R11" s="504"/>
    </row>
    <row r="12" spans="1:18" s="112" customFormat="1" ht="15" thickBot="1" x14ac:dyDescent="0.35">
      <c r="A12" s="493" t="s">
        <v>136</v>
      </c>
      <c r="B12" s="494"/>
      <c r="C12" s="494"/>
      <c r="D12" s="494"/>
      <c r="E12" s="494"/>
      <c r="F12" s="494"/>
      <c r="G12" s="494"/>
      <c r="H12" s="494"/>
      <c r="I12" s="494"/>
      <c r="J12" s="494"/>
      <c r="K12" s="494"/>
      <c r="L12" s="494"/>
      <c r="M12" s="494"/>
      <c r="N12" s="494"/>
      <c r="O12" s="494"/>
      <c r="P12" s="494"/>
      <c r="Q12" s="494"/>
      <c r="R12" s="495"/>
    </row>
    <row r="13" spans="1:18" s="112" customFormat="1" x14ac:dyDescent="0.3">
      <c r="A13" s="437" t="s">
        <v>137</v>
      </c>
      <c r="B13" s="438" t="s">
        <v>79</v>
      </c>
      <c r="C13" s="439"/>
      <c r="D13" s="439" t="s">
        <v>580</v>
      </c>
      <c r="E13" s="439">
        <v>113</v>
      </c>
      <c r="F13" s="440"/>
      <c r="G13" s="440" t="s">
        <v>57</v>
      </c>
      <c r="H13" s="440"/>
      <c r="I13" s="475" t="s">
        <v>129</v>
      </c>
      <c r="J13" s="439"/>
      <c r="K13" s="444"/>
      <c r="L13" s="444"/>
      <c r="M13" s="444"/>
      <c r="N13" s="444"/>
      <c r="O13" s="444"/>
      <c r="P13" s="439">
        <v>2024</v>
      </c>
      <c r="Q13" s="439" t="s">
        <v>581</v>
      </c>
      <c r="R13" s="476" t="s">
        <v>14</v>
      </c>
    </row>
    <row r="14" spans="1:18" s="112" customFormat="1" ht="43.2" x14ac:dyDescent="0.3">
      <c r="A14" s="383" t="s">
        <v>562</v>
      </c>
      <c r="B14" s="261" t="s">
        <v>86</v>
      </c>
      <c r="C14" s="384"/>
      <c r="D14" s="384" t="s">
        <v>138</v>
      </c>
      <c r="E14" s="384">
        <v>11</v>
      </c>
      <c r="F14" s="385"/>
      <c r="G14" s="385" t="s">
        <v>57</v>
      </c>
      <c r="H14" s="385"/>
      <c r="I14" s="386">
        <f>0.335+0.094</f>
        <v>0.42900000000000005</v>
      </c>
      <c r="J14" s="384"/>
      <c r="K14" s="387">
        <f>1054+5315</f>
        <v>6369</v>
      </c>
      <c r="L14" s="387">
        <f>+K14+J14</f>
        <v>6369</v>
      </c>
      <c r="M14" s="387">
        <f>1142+1831</f>
        <v>2973</v>
      </c>
      <c r="N14" s="387">
        <f>+M14+L14</f>
        <v>9342</v>
      </c>
      <c r="O14" s="387">
        <v>2022</v>
      </c>
      <c r="P14" s="388" t="s">
        <v>320</v>
      </c>
      <c r="Q14" s="389" t="s">
        <v>321</v>
      </c>
      <c r="R14" s="390" t="s">
        <v>561</v>
      </c>
    </row>
    <row r="15" spans="1:18" s="112" customFormat="1" ht="28.8" x14ac:dyDescent="0.3">
      <c r="A15" s="383" t="s">
        <v>379</v>
      </c>
      <c r="B15" s="261" t="s">
        <v>99</v>
      </c>
      <c r="C15" s="384"/>
      <c r="D15" s="384" t="s">
        <v>138</v>
      </c>
      <c r="E15" s="384">
        <v>8</v>
      </c>
      <c r="F15" s="384"/>
      <c r="G15" s="385" t="s">
        <v>57</v>
      </c>
      <c r="H15" s="385"/>
      <c r="I15" s="384">
        <v>0.45</v>
      </c>
      <c r="J15" s="384"/>
      <c r="K15" s="384">
        <v>9331</v>
      </c>
      <c r="L15" s="384">
        <v>9331</v>
      </c>
      <c r="M15" s="391">
        <v>2132</v>
      </c>
      <c r="N15" s="392">
        <f>L15+M15</f>
        <v>11463</v>
      </c>
      <c r="O15" s="384">
        <v>2023</v>
      </c>
      <c r="P15" s="384" t="s">
        <v>380</v>
      </c>
      <c r="Q15" s="393" t="s">
        <v>381</v>
      </c>
      <c r="R15" s="311" t="s">
        <v>382</v>
      </c>
    </row>
    <row r="16" spans="1:18" s="112" customFormat="1" ht="29.4" thickBot="1" x14ac:dyDescent="0.35">
      <c r="A16" s="394" t="s">
        <v>313</v>
      </c>
      <c r="B16" s="156" t="s">
        <v>61</v>
      </c>
      <c r="C16" s="157"/>
      <c r="D16" s="157" t="s">
        <v>14</v>
      </c>
      <c r="E16" s="157" t="s">
        <v>14</v>
      </c>
      <c r="F16" s="158"/>
      <c r="G16" s="158" t="s">
        <v>14</v>
      </c>
      <c r="H16" s="158"/>
      <c r="I16" s="159" t="s">
        <v>14</v>
      </c>
      <c r="J16" s="395"/>
      <c r="K16" s="396" t="s">
        <v>14</v>
      </c>
      <c r="L16" s="397" t="s">
        <v>14</v>
      </c>
      <c r="M16" s="396" t="s">
        <v>14</v>
      </c>
      <c r="N16" s="397" t="s">
        <v>14</v>
      </c>
      <c r="O16" s="160" t="s">
        <v>14</v>
      </c>
      <c r="P16" s="157" t="s">
        <v>14</v>
      </c>
      <c r="Q16" s="157" t="s">
        <v>14</v>
      </c>
      <c r="R16" s="398" t="s">
        <v>314</v>
      </c>
    </row>
    <row r="17" spans="1:18" s="112" customFormat="1" ht="15" thickBot="1" x14ac:dyDescent="0.35">
      <c r="A17" s="502"/>
      <c r="B17" s="503"/>
      <c r="C17" s="503"/>
      <c r="D17" s="503"/>
      <c r="E17" s="503"/>
      <c r="F17" s="503"/>
      <c r="G17" s="503"/>
      <c r="H17" s="503"/>
      <c r="I17" s="503"/>
      <c r="J17" s="503"/>
      <c r="K17" s="503"/>
      <c r="L17" s="503"/>
      <c r="M17" s="503"/>
      <c r="N17" s="503"/>
      <c r="O17" s="503"/>
      <c r="P17" s="503"/>
      <c r="Q17" s="503"/>
      <c r="R17" s="504"/>
    </row>
    <row r="18" spans="1:18" s="112" customFormat="1" ht="15" thickBot="1" x14ac:dyDescent="0.35">
      <c r="A18" s="496" t="s">
        <v>139</v>
      </c>
      <c r="B18" s="497"/>
      <c r="C18" s="497"/>
      <c r="D18" s="497"/>
      <c r="E18" s="497"/>
      <c r="F18" s="497"/>
      <c r="G18" s="497"/>
      <c r="H18" s="497"/>
      <c r="I18" s="497"/>
      <c r="J18" s="497"/>
      <c r="K18" s="497"/>
      <c r="L18" s="497"/>
      <c r="M18" s="497"/>
      <c r="N18" s="497"/>
      <c r="O18" s="497"/>
      <c r="P18" s="497"/>
      <c r="Q18" s="497"/>
      <c r="R18" s="498"/>
    </row>
    <row r="19" spans="1:18" s="112" customFormat="1" ht="28.8" x14ac:dyDescent="0.3">
      <c r="A19" s="458" t="s">
        <v>331</v>
      </c>
      <c r="B19" s="109" t="s">
        <v>332</v>
      </c>
      <c r="C19" s="155" t="s">
        <v>582</v>
      </c>
      <c r="D19" s="109" t="s">
        <v>142</v>
      </c>
      <c r="E19" s="155">
        <v>571</v>
      </c>
      <c r="F19" s="459" t="s">
        <v>14</v>
      </c>
      <c r="G19" s="459" t="s">
        <v>57</v>
      </c>
      <c r="H19" s="459" t="s">
        <v>14</v>
      </c>
      <c r="I19" s="460">
        <v>8.5</v>
      </c>
      <c r="J19" s="155"/>
      <c r="K19" s="461">
        <v>297400</v>
      </c>
      <c r="L19" s="461">
        <v>297400</v>
      </c>
      <c r="M19" s="461">
        <v>199000</v>
      </c>
      <c r="N19" s="461">
        <v>496400</v>
      </c>
      <c r="O19" s="461">
        <v>2019</v>
      </c>
      <c r="P19" s="462" t="s">
        <v>539</v>
      </c>
      <c r="Q19" s="112" t="s">
        <v>538</v>
      </c>
      <c r="R19" s="161" t="s">
        <v>140</v>
      </c>
    </row>
    <row r="20" spans="1:18" s="112" customFormat="1" ht="115.2" x14ac:dyDescent="0.3">
      <c r="A20" s="162" t="s">
        <v>563</v>
      </c>
      <c r="B20" s="108" t="s">
        <v>86</v>
      </c>
      <c r="C20" s="151"/>
      <c r="D20" s="155" t="s">
        <v>583</v>
      </c>
      <c r="E20" s="151">
        <v>176</v>
      </c>
      <c r="F20" s="113" t="s">
        <v>14</v>
      </c>
      <c r="G20" s="113" t="s">
        <v>57</v>
      </c>
      <c r="H20" s="113"/>
      <c r="I20" s="163" t="s">
        <v>129</v>
      </c>
      <c r="J20" s="151"/>
      <c r="K20" s="152" t="s">
        <v>129</v>
      </c>
      <c r="L20" s="463" t="s">
        <v>129</v>
      </c>
      <c r="M20" s="152" t="s">
        <v>129</v>
      </c>
      <c r="N20" s="463" t="s">
        <v>129</v>
      </c>
      <c r="O20" s="464">
        <v>2024</v>
      </c>
      <c r="P20" s="110" t="s">
        <v>564</v>
      </c>
      <c r="Q20" s="417" t="s">
        <v>129</v>
      </c>
      <c r="R20" s="111" t="s">
        <v>322</v>
      </c>
    </row>
    <row r="21" spans="1:18" s="112" customFormat="1" ht="28.8" x14ac:dyDescent="0.3">
      <c r="A21" s="108" t="s">
        <v>383</v>
      </c>
      <c r="B21" s="108" t="s">
        <v>99</v>
      </c>
      <c r="C21" s="108"/>
      <c r="D21" s="108" t="s">
        <v>584</v>
      </c>
      <c r="E21" s="108">
        <v>74</v>
      </c>
      <c r="F21" s="108"/>
      <c r="G21" s="113"/>
      <c r="H21" s="108"/>
      <c r="I21" s="108">
        <v>1.5149999999999999</v>
      </c>
      <c r="J21" s="108"/>
      <c r="K21" s="108">
        <v>57557</v>
      </c>
      <c r="L21" s="108">
        <v>57557</v>
      </c>
      <c r="M21" s="108">
        <v>12370</v>
      </c>
      <c r="N21" s="152">
        <f>L21+M21</f>
        <v>69927</v>
      </c>
      <c r="O21" s="465">
        <v>2024</v>
      </c>
      <c r="P21" s="306" t="s">
        <v>547</v>
      </c>
      <c r="Q21" s="108" t="s">
        <v>548</v>
      </c>
      <c r="R21" s="108" t="s">
        <v>14</v>
      </c>
    </row>
    <row r="22" spans="1:18" s="112" customFormat="1" ht="28.8" x14ac:dyDescent="0.3">
      <c r="A22" s="162" t="s">
        <v>143</v>
      </c>
      <c r="B22" s="108" t="s">
        <v>79</v>
      </c>
      <c r="C22" s="108"/>
      <c r="D22" s="108" t="s">
        <v>142</v>
      </c>
      <c r="E22" s="108">
        <v>89</v>
      </c>
      <c r="F22" s="108"/>
      <c r="G22" s="113" t="s">
        <v>57</v>
      </c>
      <c r="H22" s="108"/>
      <c r="I22" s="466" t="s">
        <v>129</v>
      </c>
      <c r="J22" s="108"/>
      <c r="K22" s="465"/>
      <c r="L22" s="465"/>
      <c r="M22" s="465"/>
      <c r="N22" s="446"/>
      <c r="O22" s="465"/>
      <c r="P22" s="467" t="s">
        <v>144</v>
      </c>
      <c r="Q22" s="108"/>
      <c r="R22" s="143"/>
    </row>
    <row r="23" spans="1:18" s="112" customFormat="1" ht="28.8" x14ac:dyDescent="0.3">
      <c r="A23" s="162" t="s">
        <v>143</v>
      </c>
      <c r="B23" s="108" t="s">
        <v>111</v>
      </c>
      <c r="C23" s="108"/>
      <c r="D23" s="108" t="s">
        <v>583</v>
      </c>
      <c r="E23" s="108">
        <v>81</v>
      </c>
      <c r="F23" s="108"/>
      <c r="G23" s="113" t="s">
        <v>57</v>
      </c>
      <c r="H23" s="108"/>
      <c r="I23" s="466" t="s">
        <v>129</v>
      </c>
      <c r="J23" s="108"/>
      <c r="K23" s="465"/>
      <c r="L23" s="465"/>
      <c r="M23" s="465"/>
      <c r="N23" s="465"/>
      <c r="O23" s="465"/>
      <c r="P23" s="467" t="s">
        <v>144</v>
      </c>
      <c r="Q23" s="108"/>
      <c r="R23" s="143"/>
    </row>
    <row r="24" spans="1:18" s="112" customFormat="1" ht="28.8" x14ac:dyDescent="0.3">
      <c r="A24" s="162" t="s">
        <v>143</v>
      </c>
      <c r="B24" s="108" t="s">
        <v>91</v>
      </c>
      <c r="C24" s="108"/>
      <c r="D24" s="108" t="s">
        <v>583</v>
      </c>
      <c r="E24" s="108">
        <v>11</v>
      </c>
      <c r="F24" s="108"/>
      <c r="G24" s="113" t="s">
        <v>57</v>
      </c>
      <c r="H24" s="108"/>
      <c r="I24" s="466" t="s">
        <v>129</v>
      </c>
      <c r="J24" s="108"/>
      <c r="K24" s="465"/>
      <c r="L24" s="465"/>
      <c r="M24" s="465"/>
      <c r="N24" s="465"/>
      <c r="O24" s="465"/>
      <c r="P24" s="467" t="s">
        <v>144</v>
      </c>
      <c r="Q24" s="108"/>
      <c r="R24" s="143"/>
    </row>
    <row r="25" spans="1:18" s="112" customFormat="1" ht="28.8" x14ac:dyDescent="0.3">
      <c r="A25" s="468" t="s">
        <v>143</v>
      </c>
      <c r="B25" s="110" t="s">
        <v>145</v>
      </c>
      <c r="C25" s="417"/>
      <c r="D25" s="108" t="s">
        <v>141</v>
      </c>
      <c r="E25" s="417">
        <v>12</v>
      </c>
      <c r="F25" s="153"/>
      <c r="G25" s="113" t="s">
        <v>57</v>
      </c>
      <c r="H25" s="153"/>
      <c r="I25" s="469" t="s">
        <v>129</v>
      </c>
      <c r="J25" s="417"/>
      <c r="K25" s="464"/>
      <c r="L25" s="464"/>
      <c r="M25" s="464"/>
      <c r="N25" s="464"/>
      <c r="O25" s="464"/>
      <c r="P25" s="470" t="s">
        <v>144</v>
      </c>
      <c r="Q25" s="151"/>
      <c r="R25" s="143"/>
    </row>
    <row r="26" spans="1:18" s="112" customFormat="1" ht="28.8" x14ac:dyDescent="0.3">
      <c r="A26" s="468" t="s">
        <v>143</v>
      </c>
      <c r="B26" s="110" t="s">
        <v>146</v>
      </c>
      <c r="C26" s="417"/>
      <c r="D26" s="108" t="s">
        <v>583</v>
      </c>
      <c r="E26" s="417">
        <v>18</v>
      </c>
      <c r="F26" s="153"/>
      <c r="G26" s="113" t="s">
        <v>57</v>
      </c>
      <c r="H26" s="153"/>
      <c r="I26" s="469" t="s">
        <v>129</v>
      </c>
      <c r="J26" s="417"/>
      <c r="K26" s="464"/>
      <c r="L26" s="464"/>
      <c r="M26" s="464"/>
      <c r="N26" s="464"/>
      <c r="O26" s="464"/>
      <c r="P26" s="470" t="s">
        <v>144</v>
      </c>
      <c r="Q26" s="151"/>
      <c r="R26" s="143"/>
    </row>
    <row r="27" spans="1:18" s="112" customFormat="1" x14ac:dyDescent="0.3">
      <c r="A27" s="468" t="s">
        <v>143</v>
      </c>
      <c r="B27" s="110" t="s">
        <v>78</v>
      </c>
      <c r="C27" s="417"/>
      <c r="D27" s="155" t="s">
        <v>585</v>
      </c>
      <c r="E27" s="417">
        <v>27</v>
      </c>
      <c r="F27" s="153"/>
      <c r="G27" s="113" t="s">
        <v>57</v>
      </c>
      <c r="H27" s="153"/>
      <c r="I27" s="469" t="s">
        <v>129</v>
      </c>
      <c r="J27" s="417"/>
      <c r="K27" s="464"/>
      <c r="L27" s="464"/>
      <c r="M27" s="464"/>
      <c r="N27" s="464"/>
      <c r="O27" s="464"/>
      <c r="P27" s="470" t="s">
        <v>144</v>
      </c>
      <c r="Q27" s="151"/>
      <c r="R27" s="143"/>
    </row>
    <row r="28" spans="1:18" s="112" customFormat="1" ht="29.4" thickBot="1" x14ac:dyDescent="0.35">
      <c r="A28" s="471" t="s">
        <v>143</v>
      </c>
      <c r="B28" s="414" t="s">
        <v>61</v>
      </c>
      <c r="C28" s="164"/>
      <c r="D28" s="414" t="s">
        <v>586</v>
      </c>
      <c r="E28" s="164">
        <v>83</v>
      </c>
      <c r="F28" s="426"/>
      <c r="G28" s="426" t="s">
        <v>57</v>
      </c>
      <c r="H28" s="426"/>
      <c r="I28" s="472">
        <f>1.478*1.149</f>
        <v>1.6982219999999999</v>
      </c>
      <c r="J28" s="164"/>
      <c r="K28" s="473">
        <v>46834</v>
      </c>
      <c r="L28" s="473">
        <v>46834</v>
      </c>
      <c r="M28" s="473">
        <v>17920</v>
      </c>
      <c r="N28" s="473">
        <f>L28+M28</f>
        <v>64754</v>
      </c>
      <c r="O28" s="473">
        <v>2023</v>
      </c>
      <c r="P28" s="424" t="s">
        <v>144</v>
      </c>
      <c r="Q28" s="424" t="s">
        <v>431</v>
      </c>
      <c r="R28" s="474" t="s">
        <v>389</v>
      </c>
    </row>
    <row r="29" spans="1:18" s="112" customFormat="1" ht="15" thickBot="1" x14ac:dyDescent="0.35">
      <c r="A29" s="502"/>
      <c r="B29" s="503"/>
      <c r="C29" s="503"/>
      <c r="D29" s="503"/>
      <c r="E29" s="503"/>
      <c r="F29" s="503"/>
      <c r="G29" s="503"/>
      <c r="H29" s="503"/>
      <c r="I29" s="503"/>
      <c r="J29" s="503"/>
      <c r="K29" s="503"/>
      <c r="L29" s="503"/>
      <c r="M29" s="503"/>
      <c r="N29" s="503"/>
      <c r="O29" s="503"/>
      <c r="P29" s="503"/>
      <c r="Q29" s="503"/>
      <c r="R29" s="504"/>
    </row>
    <row r="30" spans="1:18" s="112" customFormat="1" ht="15" thickBot="1" x14ac:dyDescent="0.35">
      <c r="A30" s="493" t="s">
        <v>408</v>
      </c>
      <c r="B30" s="494"/>
      <c r="C30" s="494"/>
      <c r="D30" s="494"/>
      <c r="E30" s="494"/>
      <c r="F30" s="494"/>
      <c r="G30" s="494"/>
      <c r="H30" s="494"/>
      <c r="I30" s="494"/>
      <c r="J30" s="494"/>
      <c r="K30" s="494"/>
      <c r="L30" s="494"/>
      <c r="M30" s="494"/>
      <c r="N30" s="494"/>
      <c r="O30" s="494"/>
      <c r="P30" s="494"/>
      <c r="Q30" s="494"/>
      <c r="R30" s="495"/>
    </row>
    <row r="31" spans="1:18" s="112" customFormat="1" ht="28.8" x14ac:dyDescent="0.3">
      <c r="A31" s="453" t="s">
        <v>147</v>
      </c>
      <c r="B31" s="439" t="s">
        <v>86</v>
      </c>
      <c r="C31" s="439" t="s">
        <v>587</v>
      </c>
      <c r="D31" s="439" t="s">
        <v>148</v>
      </c>
      <c r="E31" s="399">
        <v>196</v>
      </c>
      <c r="F31" s="454">
        <f>SUM(E34:E37)</f>
        <v>178</v>
      </c>
      <c r="G31" s="454" t="s">
        <v>57</v>
      </c>
      <c r="H31" s="454"/>
      <c r="I31" s="455">
        <v>5.9</v>
      </c>
      <c r="J31" s="439"/>
      <c r="K31" s="444" t="s">
        <v>14</v>
      </c>
      <c r="L31" s="444" t="s">
        <v>14</v>
      </c>
      <c r="M31" s="444" t="s">
        <v>14</v>
      </c>
      <c r="N31" s="444">
        <v>243000</v>
      </c>
      <c r="O31" s="444">
        <v>2024</v>
      </c>
      <c r="P31" s="456" t="s">
        <v>14</v>
      </c>
      <c r="Q31" s="439" t="s">
        <v>537</v>
      </c>
      <c r="R31" s="457" t="s">
        <v>536</v>
      </c>
    </row>
    <row r="32" spans="1:18" s="112" customFormat="1" x14ac:dyDescent="0.3">
      <c r="A32" s="508" t="s">
        <v>149</v>
      </c>
      <c r="B32" s="509"/>
      <c r="C32" s="509"/>
      <c r="D32" s="509"/>
      <c r="E32" s="509"/>
      <c r="F32" s="509"/>
      <c r="G32" s="509"/>
      <c r="H32" s="509"/>
      <c r="I32" s="509"/>
      <c r="J32" s="509"/>
      <c r="K32" s="509"/>
      <c r="L32" s="509"/>
      <c r="M32" s="509"/>
      <c r="N32" s="509"/>
      <c r="O32" s="509"/>
      <c r="P32" s="509"/>
      <c r="Q32" s="509"/>
      <c r="R32" s="510"/>
    </row>
    <row r="33" spans="1:18" s="112" customFormat="1" ht="28.8" x14ac:dyDescent="0.3">
      <c r="A33" s="400" t="s">
        <v>384</v>
      </c>
      <c r="B33" s="108" t="s">
        <v>99</v>
      </c>
      <c r="C33" s="167"/>
      <c r="D33" s="155" t="s">
        <v>150</v>
      </c>
      <c r="E33" s="155">
        <v>10</v>
      </c>
      <c r="F33" s="167"/>
      <c r="G33" s="113" t="s">
        <v>57</v>
      </c>
      <c r="H33" s="168"/>
      <c r="I33" s="155">
        <v>0.26200000000000001</v>
      </c>
      <c r="J33" s="167"/>
      <c r="K33" s="155">
        <v>9500</v>
      </c>
      <c r="L33" s="155">
        <v>3200</v>
      </c>
      <c r="M33" s="169">
        <v>4484</v>
      </c>
      <c r="N33" s="154">
        <f>L33+M33</f>
        <v>7684</v>
      </c>
      <c r="O33" s="170">
        <v>2021</v>
      </c>
      <c r="P33" s="155" t="s">
        <v>326</v>
      </c>
      <c r="Q33" s="170" t="s">
        <v>329</v>
      </c>
      <c r="R33" s="171" t="s">
        <v>330</v>
      </c>
    </row>
    <row r="34" spans="1:18" s="112" customFormat="1" ht="172.8" x14ac:dyDescent="0.3">
      <c r="A34" s="162" t="s">
        <v>151</v>
      </c>
      <c r="B34" s="108" t="s">
        <v>86</v>
      </c>
      <c r="C34" s="185"/>
      <c r="D34" s="151" t="s">
        <v>152</v>
      </c>
      <c r="E34" s="151">
        <f>4+47+47</f>
        <v>98</v>
      </c>
      <c r="F34" s="168"/>
      <c r="G34" s="113" t="s">
        <v>57</v>
      </c>
      <c r="H34" s="168"/>
      <c r="I34" s="163">
        <v>3.2989999999999999</v>
      </c>
      <c r="J34" s="151"/>
      <c r="K34" s="152" t="s">
        <v>14</v>
      </c>
      <c r="L34" s="446">
        <v>90000</v>
      </c>
      <c r="M34" s="152">
        <v>54000</v>
      </c>
      <c r="N34" s="152">
        <f>L34+M34</f>
        <v>144000</v>
      </c>
      <c r="O34" s="152">
        <v>2023</v>
      </c>
      <c r="P34" s="151" t="s">
        <v>588</v>
      </c>
      <c r="Q34" s="151">
        <v>3460</v>
      </c>
      <c r="R34" s="111" t="s">
        <v>323</v>
      </c>
    </row>
    <row r="35" spans="1:18" s="112" customFormat="1" ht="28.8" x14ac:dyDescent="0.3">
      <c r="A35" s="447" t="s">
        <v>589</v>
      </c>
      <c r="B35" s="110" t="s">
        <v>61</v>
      </c>
      <c r="C35" s="170"/>
      <c r="D35" s="170" t="s">
        <v>590</v>
      </c>
      <c r="E35" s="170">
        <f>11+14+4</f>
        <v>29</v>
      </c>
      <c r="F35" s="153"/>
      <c r="G35" s="153" t="s">
        <v>57</v>
      </c>
      <c r="H35" s="153"/>
      <c r="I35" s="448">
        <f>0.453255*1.149</f>
        <v>0.52078999500000001</v>
      </c>
      <c r="J35" s="170"/>
      <c r="K35" s="172">
        <v>14252</v>
      </c>
      <c r="L35" s="173">
        <v>14252</v>
      </c>
      <c r="M35" s="173">
        <v>7654</v>
      </c>
      <c r="N35" s="173">
        <f>L35+M35</f>
        <v>21906</v>
      </c>
      <c r="O35" s="172">
        <v>2023</v>
      </c>
      <c r="P35" s="170" t="s">
        <v>333</v>
      </c>
      <c r="Q35" s="170" t="s">
        <v>370</v>
      </c>
      <c r="R35" s="111"/>
    </row>
    <row r="36" spans="1:18" s="112" customFormat="1" x14ac:dyDescent="0.3">
      <c r="A36" s="449" t="s">
        <v>153</v>
      </c>
      <c r="B36" s="108" t="s">
        <v>111</v>
      </c>
      <c r="C36" s="151"/>
      <c r="D36" s="151" t="s">
        <v>152</v>
      </c>
      <c r="E36" s="151">
        <v>24</v>
      </c>
      <c r="F36" s="113"/>
      <c r="G36" s="113" t="s">
        <v>57</v>
      </c>
      <c r="H36" s="113"/>
      <c r="I36" s="163"/>
      <c r="J36" s="151"/>
      <c r="K36" s="450"/>
      <c r="L36" s="451"/>
      <c r="M36" s="451"/>
      <c r="N36" s="451"/>
      <c r="O36" s="152"/>
      <c r="P36" s="151" t="s">
        <v>588</v>
      </c>
      <c r="Q36" s="151"/>
      <c r="R36" s="111" t="s">
        <v>154</v>
      </c>
    </row>
    <row r="37" spans="1:18" s="112" customFormat="1" ht="15" thickBot="1" x14ac:dyDescent="0.35">
      <c r="A37" s="452" t="s">
        <v>155</v>
      </c>
      <c r="B37" s="174" t="s">
        <v>79</v>
      </c>
      <c r="C37" s="170"/>
      <c r="D37" s="170" t="s">
        <v>152</v>
      </c>
      <c r="E37" s="170">
        <v>27</v>
      </c>
      <c r="F37" s="175"/>
      <c r="G37" s="175" t="s">
        <v>57</v>
      </c>
      <c r="H37" s="175"/>
      <c r="I37" s="176">
        <v>0.73699999999999999</v>
      </c>
      <c r="J37" s="170"/>
      <c r="K37" s="172">
        <v>23432</v>
      </c>
      <c r="L37" s="173">
        <v>23432</v>
      </c>
      <c r="M37" s="173">
        <v>10622</v>
      </c>
      <c r="N37" s="173"/>
      <c r="O37" s="172">
        <v>2022</v>
      </c>
      <c r="P37" s="170" t="s">
        <v>588</v>
      </c>
      <c r="Q37" s="170"/>
      <c r="R37" s="161" t="s">
        <v>154</v>
      </c>
    </row>
    <row r="38" spans="1:18" s="112" customFormat="1" ht="15" thickBot="1" x14ac:dyDescent="0.35">
      <c r="A38" s="502"/>
      <c r="B38" s="503"/>
      <c r="C38" s="503"/>
      <c r="D38" s="503"/>
      <c r="E38" s="503"/>
      <c r="F38" s="503"/>
      <c r="G38" s="503"/>
      <c r="H38" s="503"/>
      <c r="I38" s="503"/>
      <c r="J38" s="503"/>
      <c r="K38" s="503"/>
      <c r="L38" s="503"/>
      <c r="M38" s="503"/>
      <c r="N38" s="503"/>
      <c r="O38" s="503"/>
      <c r="P38" s="503"/>
      <c r="Q38" s="503"/>
      <c r="R38" s="504"/>
    </row>
    <row r="39" spans="1:18" s="112" customFormat="1" ht="15" thickBot="1" x14ac:dyDescent="0.35">
      <c r="A39" s="184" t="s">
        <v>407</v>
      </c>
      <c r="B39" s="174"/>
      <c r="C39" s="170"/>
      <c r="D39" s="170"/>
      <c r="E39" s="170"/>
      <c r="F39" s="175"/>
      <c r="G39" s="175"/>
      <c r="H39" s="175"/>
      <c r="I39" s="176"/>
      <c r="J39" s="170"/>
      <c r="K39" s="172"/>
      <c r="L39" s="173"/>
      <c r="M39" s="173"/>
      <c r="N39" s="173"/>
      <c r="O39" s="172"/>
      <c r="P39" s="170"/>
      <c r="Q39" s="170"/>
      <c r="R39" s="161"/>
    </row>
    <row r="40" spans="1:18" s="112" customFormat="1" ht="29.4" thickBot="1" x14ac:dyDescent="0.35">
      <c r="A40" s="401" t="s">
        <v>397</v>
      </c>
      <c r="B40" s="402" t="s">
        <v>61</v>
      </c>
      <c r="C40" s="399"/>
      <c r="D40" s="402" t="s">
        <v>156</v>
      </c>
      <c r="E40" s="402">
        <v>13</v>
      </c>
      <c r="F40" s="402"/>
      <c r="G40" s="403" t="s">
        <v>57</v>
      </c>
      <c r="H40" s="402"/>
      <c r="I40" s="404">
        <v>0.27379999999999999</v>
      </c>
      <c r="J40" s="402"/>
      <c r="K40" s="405" t="s">
        <v>129</v>
      </c>
      <c r="L40" s="405" t="s">
        <v>129</v>
      </c>
      <c r="M40" s="405" t="s">
        <v>129</v>
      </c>
      <c r="N40" s="405" t="s">
        <v>129</v>
      </c>
      <c r="O40" s="406">
        <v>45078</v>
      </c>
      <c r="P40" s="402" t="s">
        <v>108</v>
      </c>
      <c r="Q40" s="402" t="s">
        <v>396</v>
      </c>
      <c r="R40" s="407" t="s">
        <v>301</v>
      </c>
    </row>
    <row r="41" spans="1:18" s="112" customFormat="1" ht="15" thickBot="1" x14ac:dyDescent="0.35">
      <c r="A41" s="502"/>
      <c r="B41" s="503"/>
      <c r="C41" s="503"/>
      <c r="D41" s="503"/>
      <c r="E41" s="503"/>
      <c r="F41" s="503"/>
      <c r="G41" s="503"/>
      <c r="H41" s="503"/>
      <c r="I41" s="503"/>
      <c r="J41" s="503"/>
      <c r="K41" s="503"/>
      <c r="L41" s="503"/>
      <c r="M41" s="503"/>
      <c r="N41" s="503"/>
      <c r="O41" s="503"/>
      <c r="P41" s="503"/>
      <c r="Q41" s="503"/>
      <c r="R41" s="504"/>
    </row>
    <row r="42" spans="1:18" s="112" customFormat="1" ht="15" thickBot="1" x14ac:dyDescent="0.35">
      <c r="A42" s="505" t="s">
        <v>157</v>
      </c>
      <c r="B42" s="506"/>
      <c r="C42" s="506"/>
      <c r="D42" s="506"/>
      <c r="E42" s="506"/>
      <c r="F42" s="506"/>
      <c r="G42" s="506"/>
      <c r="H42" s="506"/>
      <c r="I42" s="506"/>
      <c r="J42" s="506"/>
      <c r="K42" s="506"/>
      <c r="L42" s="506"/>
      <c r="M42" s="506"/>
      <c r="N42" s="506"/>
      <c r="O42" s="506"/>
      <c r="P42" s="506"/>
      <c r="Q42" s="506"/>
      <c r="R42" s="507"/>
    </row>
    <row r="43" spans="1:18" s="112" customFormat="1" ht="57.6" x14ac:dyDescent="0.3">
      <c r="A43" s="437" t="s">
        <v>158</v>
      </c>
      <c r="B43" s="438" t="s">
        <v>146</v>
      </c>
      <c r="C43" s="439" t="s">
        <v>159</v>
      </c>
      <c r="D43" s="439" t="s">
        <v>160</v>
      </c>
      <c r="E43" s="439">
        <v>498</v>
      </c>
      <c r="F43" s="440" t="s">
        <v>57</v>
      </c>
      <c r="G43" s="440" t="s">
        <v>57</v>
      </c>
      <c r="H43" s="440" t="s">
        <v>57</v>
      </c>
      <c r="I43" s="441">
        <v>28.66</v>
      </c>
      <c r="J43" s="442">
        <v>333600</v>
      </c>
      <c r="K43" s="442">
        <v>351850</v>
      </c>
      <c r="L43" s="443">
        <v>695600</v>
      </c>
      <c r="M43" s="442">
        <v>221900</v>
      </c>
      <c r="N43" s="442">
        <f>L43+M43</f>
        <v>917500</v>
      </c>
      <c r="O43" s="444">
        <v>2024</v>
      </c>
      <c r="P43" s="347" t="s">
        <v>445</v>
      </c>
      <c r="Q43" s="439">
        <v>37200</v>
      </c>
      <c r="R43" s="445">
        <f>J43+K43</f>
        <v>685450</v>
      </c>
    </row>
    <row r="44" spans="1:18" s="112" customFormat="1" x14ac:dyDescent="0.3">
      <c r="A44" s="511" t="s">
        <v>149</v>
      </c>
      <c r="B44" s="512"/>
      <c r="C44" s="512"/>
      <c r="D44" s="512"/>
      <c r="E44" s="512"/>
      <c r="F44" s="512"/>
      <c r="G44" s="512"/>
      <c r="H44" s="512"/>
      <c r="I44" s="512"/>
      <c r="J44" s="512"/>
      <c r="K44" s="512"/>
      <c r="L44" s="512"/>
      <c r="M44" s="512"/>
      <c r="N44" s="512"/>
      <c r="O44" s="512"/>
      <c r="P44" s="512"/>
      <c r="Q44" s="512"/>
      <c r="R44" s="513"/>
    </row>
    <row r="45" spans="1:18" s="112" customFormat="1" ht="57.6" x14ac:dyDescent="0.3">
      <c r="A45" s="162" t="s">
        <v>161</v>
      </c>
      <c r="B45" s="108" t="s">
        <v>146</v>
      </c>
      <c r="C45" s="108" t="s">
        <v>162</v>
      </c>
      <c r="D45" s="151" t="s">
        <v>163</v>
      </c>
      <c r="E45" s="151">
        <v>21</v>
      </c>
      <c r="F45" s="113" t="s">
        <v>57</v>
      </c>
      <c r="G45" s="113"/>
      <c r="H45" s="113"/>
      <c r="I45" s="163">
        <v>11.4</v>
      </c>
      <c r="J45" s="151">
        <v>307900</v>
      </c>
      <c r="K45" s="152">
        <v>10000</v>
      </c>
      <c r="L45" s="152">
        <f>J45+K45</f>
        <v>317900</v>
      </c>
      <c r="M45" s="152"/>
      <c r="N45" s="152" t="s">
        <v>14</v>
      </c>
      <c r="O45" s="152"/>
      <c r="P45" s="117" t="s">
        <v>164</v>
      </c>
      <c r="Q45" s="151" t="s">
        <v>302</v>
      </c>
      <c r="R45" s="111"/>
    </row>
    <row r="46" spans="1:18" s="112" customFormat="1" ht="86.4" x14ac:dyDescent="0.3">
      <c r="A46" s="162" t="s">
        <v>165</v>
      </c>
      <c r="B46" s="108" t="s">
        <v>146</v>
      </c>
      <c r="C46" s="108" t="s">
        <v>402</v>
      </c>
      <c r="D46" s="151" t="s">
        <v>403</v>
      </c>
      <c r="E46" s="151">
        <f>148+36+21+25+9+16+45+26+19</f>
        <v>345</v>
      </c>
      <c r="F46" s="113">
        <f>E46+F49</f>
        <v>593</v>
      </c>
      <c r="G46" s="113" t="s">
        <v>57</v>
      </c>
      <c r="H46" s="113"/>
      <c r="I46" s="163">
        <v>17.27</v>
      </c>
      <c r="J46" s="151"/>
      <c r="K46" s="152">
        <v>344200</v>
      </c>
      <c r="L46" s="152">
        <v>344200</v>
      </c>
      <c r="M46" s="152">
        <v>231000</v>
      </c>
      <c r="N46" s="152" t="s">
        <v>14</v>
      </c>
      <c r="O46" s="152">
        <v>2023</v>
      </c>
      <c r="P46" s="151" t="s">
        <v>333</v>
      </c>
      <c r="Q46" s="151" t="s">
        <v>14</v>
      </c>
      <c r="R46" s="111" t="s">
        <v>14</v>
      </c>
    </row>
    <row r="47" spans="1:18" s="112" customFormat="1" ht="28.8" x14ac:dyDescent="0.3">
      <c r="A47" s="162" t="s">
        <v>166</v>
      </c>
      <c r="B47" s="108" t="s">
        <v>167</v>
      </c>
      <c r="C47" s="108" t="s">
        <v>167</v>
      </c>
      <c r="D47" s="151" t="s">
        <v>163</v>
      </c>
      <c r="E47" s="151">
        <v>39</v>
      </c>
      <c r="F47" s="113"/>
      <c r="G47" s="113" t="s">
        <v>57</v>
      </c>
      <c r="H47" s="113"/>
      <c r="I47" s="163">
        <v>3.4</v>
      </c>
      <c r="J47" s="151"/>
      <c r="K47" s="152">
        <v>40300</v>
      </c>
      <c r="L47" s="152">
        <v>40300</v>
      </c>
      <c r="M47" s="152"/>
      <c r="N47" s="152"/>
      <c r="O47" s="152">
        <v>2022</v>
      </c>
      <c r="P47" s="151" t="s">
        <v>305</v>
      </c>
      <c r="Q47" s="151">
        <v>3400</v>
      </c>
      <c r="R47" s="111" t="s">
        <v>306</v>
      </c>
    </row>
    <row r="48" spans="1:18" s="112" customFormat="1" ht="28.8" x14ac:dyDescent="0.3">
      <c r="A48" s="162" t="s">
        <v>168</v>
      </c>
      <c r="B48" s="108" t="s">
        <v>169</v>
      </c>
      <c r="C48" s="108" t="s">
        <v>169</v>
      </c>
      <c r="D48" s="151" t="s">
        <v>163</v>
      </c>
      <c r="E48" s="151">
        <v>35</v>
      </c>
      <c r="F48" s="113"/>
      <c r="G48" s="113" t="s">
        <v>57</v>
      </c>
      <c r="H48" s="113"/>
      <c r="I48" s="163">
        <v>0.443</v>
      </c>
      <c r="J48" s="151"/>
      <c r="K48" s="152">
        <v>7400</v>
      </c>
      <c r="L48" s="152">
        <v>7400</v>
      </c>
      <c r="M48" s="152"/>
      <c r="N48" s="152"/>
      <c r="O48" s="152">
        <v>2022</v>
      </c>
      <c r="P48" s="151" t="s">
        <v>305</v>
      </c>
      <c r="Q48" s="151" t="s">
        <v>170</v>
      </c>
      <c r="R48" s="111" t="s">
        <v>306</v>
      </c>
    </row>
    <row r="49" spans="1:18" s="112" customFormat="1" ht="28.8" x14ac:dyDescent="0.3">
      <c r="A49" s="431" t="s">
        <v>171</v>
      </c>
      <c r="B49" s="432" t="s">
        <v>99</v>
      </c>
      <c r="C49" s="432"/>
      <c r="D49" s="433" t="s">
        <v>304</v>
      </c>
      <c r="E49" s="433">
        <v>78</v>
      </c>
      <c r="F49" s="433">
        <f>SUM(E50:E55)</f>
        <v>248</v>
      </c>
      <c r="G49" s="434" t="s">
        <v>57</v>
      </c>
      <c r="H49" s="434" t="s">
        <v>14</v>
      </c>
      <c r="I49" s="435">
        <v>2.1</v>
      </c>
      <c r="J49" s="433"/>
      <c r="K49" s="433">
        <v>31628</v>
      </c>
      <c r="L49" s="433">
        <v>31628</v>
      </c>
      <c r="M49" s="436">
        <v>19901</v>
      </c>
      <c r="N49" s="392">
        <f>L49+M49</f>
        <v>51529</v>
      </c>
      <c r="O49" s="433">
        <v>2023</v>
      </c>
      <c r="P49" s="393" t="s">
        <v>380</v>
      </c>
      <c r="Q49" s="433" t="s">
        <v>385</v>
      </c>
      <c r="R49" s="311" t="s">
        <v>386</v>
      </c>
    </row>
    <row r="50" spans="1:18" s="112" customFormat="1" ht="28.8" x14ac:dyDescent="0.3">
      <c r="A50" s="162" t="s">
        <v>173</v>
      </c>
      <c r="B50" s="108" t="s">
        <v>79</v>
      </c>
      <c r="C50" s="108" t="s">
        <v>14</v>
      </c>
      <c r="D50" s="151" t="s">
        <v>163</v>
      </c>
      <c r="E50" s="151">
        <v>120</v>
      </c>
      <c r="F50" s="113"/>
      <c r="G50" s="113" t="s">
        <v>57</v>
      </c>
      <c r="H50" s="113"/>
      <c r="I50" s="163">
        <v>4.8</v>
      </c>
      <c r="J50" s="151" t="s">
        <v>14</v>
      </c>
      <c r="K50" s="152" t="s">
        <v>14</v>
      </c>
      <c r="L50" s="152" t="s">
        <v>14</v>
      </c>
      <c r="M50" s="152"/>
      <c r="N50" s="152">
        <v>180000</v>
      </c>
      <c r="O50" s="152">
        <v>2023</v>
      </c>
      <c r="P50" s="151" t="s">
        <v>333</v>
      </c>
      <c r="Q50" s="151" t="s">
        <v>400</v>
      </c>
      <c r="R50" s="111" t="s">
        <v>14</v>
      </c>
    </row>
    <row r="51" spans="1:18" ht="28.8" x14ac:dyDescent="0.3">
      <c r="A51" s="162" t="s">
        <v>174</v>
      </c>
      <c r="B51" s="108" t="s">
        <v>75</v>
      </c>
      <c r="C51" s="408"/>
      <c r="D51" s="151" t="s">
        <v>163</v>
      </c>
      <c r="E51" s="2">
        <v>68</v>
      </c>
      <c r="F51" s="177"/>
      <c r="G51" s="409" t="s">
        <v>57</v>
      </c>
      <c r="H51" s="177"/>
      <c r="I51" s="410">
        <f>24*0.134113</f>
        <v>3.218712</v>
      </c>
      <c r="J51" s="177"/>
      <c r="K51" s="411"/>
      <c r="L51" s="411"/>
      <c r="M51" s="411"/>
      <c r="N51" s="144">
        <v>67000</v>
      </c>
      <c r="O51" s="144">
        <v>2023</v>
      </c>
      <c r="P51" s="151" t="s">
        <v>333</v>
      </c>
      <c r="Q51" s="177" t="s">
        <v>401</v>
      </c>
      <c r="R51" s="111" t="s">
        <v>14</v>
      </c>
    </row>
    <row r="52" spans="1:18" ht="28.8" x14ac:dyDescent="0.3">
      <c r="A52" s="162" t="s">
        <v>303</v>
      </c>
      <c r="B52" s="108" t="s">
        <v>111</v>
      </c>
      <c r="C52" s="408"/>
      <c r="D52" s="151" t="s">
        <v>163</v>
      </c>
      <c r="E52" s="2">
        <v>32</v>
      </c>
      <c r="F52" s="177"/>
      <c r="G52" s="409" t="s">
        <v>57</v>
      </c>
      <c r="H52" s="177"/>
      <c r="I52" s="410"/>
      <c r="J52" s="177"/>
      <c r="K52" s="411"/>
      <c r="L52" s="411"/>
      <c r="M52" s="411"/>
      <c r="N52" s="411"/>
      <c r="O52" s="144">
        <v>2023</v>
      </c>
      <c r="P52" s="151" t="s">
        <v>333</v>
      </c>
      <c r="Q52" s="177"/>
      <c r="R52" s="111" t="s">
        <v>14</v>
      </c>
    </row>
    <row r="53" spans="1:18" ht="28.8" x14ac:dyDescent="0.3">
      <c r="A53" s="162" t="s">
        <v>175</v>
      </c>
      <c r="B53" s="108" t="s">
        <v>91</v>
      </c>
      <c r="C53" s="408"/>
      <c r="D53" s="151" t="s">
        <v>163</v>
      </c>
      <c r="E53" s="151">
        <v>20</v>
      </c>
      <c r="F53" s="177"/>
      <c r="G53" s="409" t="s">
        <v>57</v>
      </c>
      <c r="H53" s="177"/>
      <c r="I53" s="410"/>
      <c r="J53" s="177"/>
      <c r="K53" s="411"/>
      <c r="L53" s="411"/>
      <c r="M53" s="411"/>
      <c r="N53" s="411"/>
      <c r="O53" s="144">
        <v>2023</v>
      </c>
      <c r="P53" s="151" t="s">
        <v>333</v>
      </c>
      <c r="Q53" s="177"/>
      <c r="R53" s="111" t="s">
        <v>14</v>
      </c>
    </row>
    <row r="54" spans="1:18" ht="15" thickBot="1" x14ac:dyDescent="0.35">
      <c r="A54" s="415" t="s">
        <v>176</v>
      </c>
      <c r="B54" s="110" t="s">
        <v>61</v>
      </c>
      <c r="C54" s="416"/>
      <c r="D54" s="417" t="s">
        <v>177</v>
      </c>
      <c r="E54" s="417">
        <v>5</v>
      </c>
      <c r="F54" s="418"/>
      <c r="G54" s="153" t="s">
        <v>172</v>
      </c>
      <c r="H54" s="418"/>
      <c r="I54" s="419">
        <f>0.422*1.149</f>
        <v>0.48487799999999998</v>
      </c>
      <c r="J54" s="50"/>
      <c r="K54" s="420">
        <v>2804</v>
      </c>
      <c r="L54" s="420">
        <v>2804</v>
      </c>
      <c r="M54" s="420">
        <v>1802</v>
      </c>
      <c r="N54" s="420">
        <f>L54+M54</f>
        <v>4606</v>
      </c>
      <c r="O54" s="420">
        <v>2023</v>
      </c>
      <c r="P54" s="50" t="s">
        <v>108</v>
      </c>
      <c r="Q54" s="50" t="s">
        <v>447</v>
      </c>
      <c r="R54" s="421" t="s">
        <v>389</v>
      </c>
    </row>
    <row r="55" spans="1:18" ht="15" thickBot="1" x14ac:dyDescent="0.35">
      <c r="A55" s="422" t="s">
        <v>387</v>
      </c>
      <c r="B55" s="423" t="s">
        <v>99</v>
      </c>
      <c r="C55" s="423" t="s">
        <v>99</v>
      </c>
      <c r="D55" s="424" t="s">
        <v>177</v>
      </c>
      <c r="E55" s="424">
        <v>3</v>
      </c>
      <c r="F55" s="425"/>
      <c r="G55" s="426" t="s">
        <v>172</v>
      </c>
      <c r="H55" s="425"/>
      <c r="I55" s="427">
        <v>0.23499999999999999</v>
      </c>
      <c r="J55" s="428"/>
      <c r="K55" s="429">
        <v>1226</v>
      </c>
      <c r="L55" s="429">
        <v>1226</v>
      </c>
      <c r="M55" s="429">
        <v>799</v>
      </c>
      <c r="N55" s="429">
        <f>L55+M55</f>
        <v>2025</v>
      </c>
      <c r="O55" s="429">
        <v>2024</v>
      </c>
      <c r="P55" s="428" t="s">
        <v>544</v>
      </c>
      <c r="Q55" s="428" t="s">
        <v>549</v>
      </c>
      <c r="R55" s="430" t="s">
        <v>14</v>
      </c>
    </row>
    <row r="56" spans="1:18" s="112" customFormat="1" ht="29.4" thickBot="1" x14ac:dyDescent="0.35">
      <c r="A56" s="162" t="s">
        <v>324</v>
      </c>
      <c r="B56" s="108" t="s">
        <v>86</v>
      </c>
      <c r="C56" s="185"/>
      <c r="D56" s="151" t="s">
        <v>399</v>
      </c>
      <c r="E56" s="151">
        <v>105</v>
      </c>
      <c r="F56" s="168"/>
      <c r="G56" s="113" t="s">
        <v>172</v>
      </c>
      <c r="H56" s="168"/>
      <c r="I56" s="163">
        <v>2.2360000000000002</v>
      </c>
      <c r="J56" s="151"/>
      <c r="K56" s="152">
        <v>32048</v>
      </c>
      <c r="L56" s="152">
        <v>32048</v>
      </c>
      <c r="M56" s="152">
        <v>33756</v>
      </c>
      <c r="N56" s="152">
        <f>M56+L56</f>
        <v>65804</v>
      </c>
      <c r="O56" s="152">
        <v>2023</v>
      </c>
      <c r="P56" s="151" t="s">
        <v>417</v>
      </c>
      <c r="Q56" s="151" t="s">
        <v>418</v>
      </c>
      <c r="R56" s="111"/>
    </row>
    <row r="57" spans="1:18" s="112" customFormat="1" ht="15" thickBot="1" x14ac:dyDescent="0.35">
      <c r="A57" s="502"/>
      <c r="B57" s="503"/>
      <c r="C57" s="503"/>
      <c r="D57" s="503"/>
      <c r="E57" s="503"/>
      <c r="F57" s="503"/>
      <c r="G57" s="503"/>
      <c r="H57" s="503"/>
      <c r="I57" s="503"/>
      <c r="J57" s="503"/>
      <c r="K57" s="503"/>
      <c r="L57" s="503"/>
      <c r="M57" s="503"/>
      <c r="N57" s="503"/>
      <c r="O57" s="503"/>
      <c r="P57" s="503"/>
      <c r="Q57" s="503"/>
      <c r="R57" s="504"/>
    </row>
    <row r="58" spans="1:18" x14ac:dyDescent="0.3">
      <c r="A58" s="499" t="s">
        <v>178</v>
      </c>
      <c r="B58" s="500"/>
      <c r="C58" s="500"/>
      <c r="D58" s="500"/>
      <c r="E58" s="500"/>
      <c r="F58" s="500"/>
      <c r="G58" s="500"/>
      <c r="H58" s="500"/>
      <c r="I58" s="500"/>
      <c r="J58" s="500"/>
      <c r="K58" s="500"/>
      <c r="L58" s="500"/>
      <c r="M58" s="500"/>
      <c r="N58" s="500"/>
      <c r="O58" s="500"/>
      <c r="P58" s="500"/>
      <c r="Q58" s="500"/>
      <c r="R58" s="501"/>
    </row>
    <row r="59" spans="1:18" s="349" customFormat="1" ht="15" thickBot="1" x14ac:dyDescent="0.35">
      <c r="A59" s="413" t="s">
        <v>179</v>
      </c>
      <c r="B59" s="414" t="s">
        <v>75</v>
      </c>
      <c r="C59" s="414"/>
      <c r="D59" s="164" t="s">
        <v>180</v>
      </c>
      <c r="E59" s="164">
        <v>16</v>
      </c>
      <c r="F59" s="164"/>
      <c r="G59" s="165" t="s">
        <v>172</v>
      </c>
      <c r="H59" s="165"/>
      <c r="I59" s="166" t="s">
        <v>14</v>
      </c>
      <c r="J59" s="164"/>
      <c r="K59" s="164"/>
      <c r="L59" s="164"/>
      <c r="M59" s="178"/>
      <c r="N59" s="178"/>
      <c r="O59" s="164">
        <v>2023</v>
      </c>
      <c r="P59" s="164" t="s">
        <v>333</v>
      </c>
      <c r="Q59" s="164" t="s">
        <v>446</v>
      </c>
      <c r="R59" s="412" t="s">
        <v>14</v>
      </c>
    </row>
    <row r="60" spans="1:18" x14ac:dyDescent="0.3">
      <c r="A60" s="114" t="s">
        <v>14</v>
      </c>
    </row>
    <row r="63" spans="1:18" x14ac:dyDescent="0.3">
      <c r="A63" s="352"/>
    </row>
    <row r="74" spans="5:5" x14ac:dyDescent="0.3">
      <c r="E74" s="114">
        <f>161+38+33+66+221+49+13+5+3</f>
        <v>589</v>
      </c>
    </row>
  </sheetData>
  <mergeCells count="16">
    <mergeCell ref="A3:R3"/>
    <mergeCell ref="A9:R9"/>
    <mergeCell ref="A12:R12"/>
    <mergeCell ref="A18:R18"/>
    <mergeCell ref="A58:R58"/>
    <mergeCell ref="A8:R8"/>
    <mergeCell ref="A11:R11"/>
    <mergeCell ref="A17:R17"/>
    <mergeCell ref="A29:R29"/>
    <mergeCell ref="A41:R41"/>
    <mergeCell ref="A57:R57"/>
    <mergeCell ref="A30:R30"/>
    <mergeCell ref="A42:R42"/>
    <mergeCell ref="A32:R32"/>
    <mergeCell ref="A44:R44"/>
    <mergeCell ref="A38:R38"/>
  </mergeCells>
  <hyperlinks>
    <hyperlink ref="P31" r:id="rId1" display="https://jobsfrance.renaultretailgroup.com/" xr:uid="{35DF8E4C-C9D4-4F67-B9CA-CA99B47E4356}"/>
    <hyperlink ref="R31" r:id="rId2" display="https://jobsfrance.renaultretailgroup.com/" xr:uid="{D4BA6103-B596-43B0-AE1E-77202C91723B}"/>
  </hyperlinks>
  <pageMargins left="0.7" right="0.7" top="0.75" bottom="0.75" header="0.3" footer="0.3"/>
  <pageSetup paperSize="9" orientation="portrait"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0"/>
  <sheetViews>
    <sheetView topLeftCell="A68" zoomScale="67" zoomScaleNormal="67" workbookViewId="0">
      <selection activeCell="B81" sqref="B81"/>
    </sheetView>
  </sheetViews>
  <sheetFormatPr defaultColWidth="9.21875" defaultRowHeight="14.4" x14ac:dyDescent="0.3"/>
  <cols>
    <col min="2" max="2" width="17.77734375" customWidth="1"/>
  </cols>
  <sheetData>
    <row r="1" spans="1:2" ht="15" thickBot="1" x14ac:dyDescent="0.35">
      <c r="A1" s="4" t="s">
        <v>181</v>
      </c>
    </row>
    <row r="2" spans="1:2" x14ac:dyDescent="0.3">
      <c r="A2" s="5" t="s">
        <v>182</v>
      </c>
      <c r="B2" s="6" t="s">
        <v>183</v>
      </c>
    </row>
    <row r="3" spans="1:2" x14ac:dyDescent="0.3">
      <c r="A3" s="7" t="s">
        <v>184</v>
      </c>
      <c r="B3" s="8" t="s">
        <v>185</v>
      </c>
    </row>
    <row r="4" spans="1:2" x14ac:dyDescent="0.3">
      <c r="A4" s="7" t="s">
        <v>338</v>
      </c>
      <c r="B4" s="8" t="s">
        <v>339</v>
      </c>
    </row>
    <row r="5" spans="1:2" x14ac:dyDescent="0.3">
      <c r="A5" s="9" t="s">
        <v>186</v>
      </c>
      <c r="B5" s="10" t="s">
        <v>187</v>
      </c>
    </row>
    <row r="6" spans="1:2" x14ac:dyDescent="0.3">
      <c r="A6" s="9" t="s">
        <v>188</v>
      </c>
      <c r="B6" s="10" t="s">
        <v>189</v>
      </c>
    </row>
    <row r="7" spans="1:2" x14ac:dyDescent="0.3">
      <c r="A7" s="9" t="s">
        <v>190</v>
      </c>
      <c r="B7" s="10" t="s">
        <v>191</v>
      </c>
    </row>
    <row r="8" spans="1:2" x14ac:dyDescent="0.3">
      <c r="A8" s="9" t="s">
        <v>192</v>
      </c>
      <c r="B8" s="10" t="s">
        <v>193</v>
      </c>
    </row>
    <row r="9" spans="1:2" x14ac:dyDescent="0.3">
      <c r="A9" s="9" t="s">
        <v>366</v>
      </c>
      <c r="B9" s="10" t="s">
        <v>367</v>
      </c>
    </row>
    <row r="10" spans="1:2" x14ac:dyDescent="0.3">
      <c r="A10" s="9" t="s">
        <v>194</v>
      </c>
      <c r="B10" s="10" t="s">
        <v>195</v>
      </c>
    </row>
    <row r="11" spans="1:2" x14ac:dyDescent="0.3">
      <c r="A11" s="9" t="s">
        <v>196</v>
      </c>
      <c r="B11" s="10" t="s">
        <v>126</v>
      </c>
    </row>
    <row r="12" spans="1:2" x14ac:dyDescent="0.3">
      <c r="A12" s="9" t="s">
        <v>197</v>
      </c>
      <c r="B12" s="10" t="s">
        <v>198</v>
      </c>
    </row>
    <row r="13" spans="1:2" x14ac:dyDescent="0.3">
      <c r="A13" s="9" t="s">
        <v>199</v>
      </c>
      <c r="B13" s="10" t="s">
        <v>200</v>
      </c>
    </row>
    <row r="14" spans="1:2" x14ac:dyDescent="0.3">
      <c r="A14" s="9" t="s">
        <v>201</v>
      </c>
      <c r="B14" s="10" t="s">
        <v>202</v>
      </c>
    </row>
    <row r="15" spans="1:2" x14ac:dyDescent="0.3">
      <c r="A15" s="9" t="s">
        <v>203</v>
      </c>
      <c r="B15" s="10" t="s">
        <v>204</v>
      </c>
    </row>
    <row r="16" spans="1:2" x14ac:dyDescent="0.3">
      <c r="A16" s="9" t="s">
        <v>205</v>
      </c>
      <c r="B16" s="10" t="s">
        <v>206</v>
      </c>
    </row>
    <row r="17" spans="1:2" x14ac:dyDescent="0.3">
      <c r="A17" s="9" t="s">
        <v>207</v>
      </c>
      <c r="B17" s="10" t="s">
        <v>208</v>
      </c>
    </row>
    <row r="18" spans="1:2" x14ac:dyDescent="0.3">
      <c r="A18" s="9" t="s">
        <v>209</v>
      </c>
      <c r="B18" s="10" t="s">
        <v>210</v>
      </c>
    </row>
    <row r="19" spans="1:2" x14ac:dyDescent="0.3">
      <c r="A19" s="9" t="s">
        <v>211</v>
      </c>
      <c r="B19" s="10" t="s">
        <v>212</v>
      </c>
    </row>
    <row r="20" spans="1:2" x14ac:dyDescent="0.3">
      <c r="A20" s="9" t="s">
        <v>213</v>
      </c>
      <c r="B20" s="10" t="s">
        <v>214</v>
      </c>
    </row>
    <row r="21" spans="1:2" x14ac:dyDescent="0.3">
      <c r="A21" s="9" t="s">
        <v>215</v>
      </c>
      <c r="B21" s="10" t="s">
        <v>216</v>
      </c>
    </row>
    <row r="22" spans="1:2" x14ac:dyDescent="0.3">
      <c r="A22" s="9" t="s">
        <v>217</v>
      </c>
      <c r="B22" s="10" t="s">
        <v>218</v>
      </c>
    </row>
    <row r="23" spans="1:2" x14ac:dyDescent="0.3">
      <c r="A23" s="9" t="s">
        <v>219</v>
      </c>
      <c r="B23" s="10" t="s">
        <v>220</v>
      </c>
    </row>
    <row r="24" spans="1:2" x14ac:dyDescent="0.3">
      <c r="A24" s="9" t="s">
        <v>364</v>
      </c>
      <c r="B24" s="10" t="s">
        <v>365</v>
      </c>
    </row>
    <row r="25" spans="1:2" x14ac:dyDescent="0.3">
      <c r="A25" s="9" t="s">
        <v>221</v>
      </c>
      <c r="B25" s="10" t="s">
        <v>222</v>
      </c>
    </row>
    <row r="26" spans="1:2" x14ac:dyDescent="0.3">
      <c r="A26" s="9" t="s">
        <v>223</v>
      </c>
      <c r="B26" s="10" t="s">
        <v>224</v>
      </c>
    </row>
    <row r="27" spans="1:2" x14ac:dyDescent="0.3">
      <c r="A27" s="9" t="s">
        <v>225</v>
      </c>
      <c r="B27" s="10" t="s">
        <v>226</v>
      </c>
    </row>
    <row r="28" spans="1:2" x14ac:dyDescent="0.3">
      <c r="A28" s="9" t="s">
        <v>227</v>
      </c>
      <c r="B28" s="10" t="s">
        <v>228</v>
      </c>
    </row>
    <row r="29" spans="1:2" x14ac:dyDescent="0.3">
      <c r="A29" s="9" t="s">
        <v>229</v>
      </c>
      <c r="B29" s="10" t="s">
        <v>230</v>
      </c>
    </row>
    <row r="30" spans="1:2" x14ac:dyDescent="0.3">
      <c r="A30" s="9" t="s">
        <v>349</v>
      </c>
      <c r="B30" s="10" t="s">
        <v>350</v>
      </c>
    </row>
    <row r="31" spans="1:2" x14ac:dyDescent="0.3">
      <c r="A31" s="9" t="s">
        <v>356</v>
      </c>
      <c r="B31" s="10" t="s">
        <v>357</v>
      </c>
    </row>
    <row r="32" spans="1:2" x14ac:dyDescent="0.3">
      <c r="A32" s="9" t="s">
        <v>231</v>
      </c>
      <c r="B32" s="10" t="s">
        <v>232</v>
      </c>
    </row>
    <row r="33" spans="1:2" x14ac:dyDescent="0.3">
      <c r="A33" s="9" t="s">
        <v>233</v>
      </c>
      <c r="B33" s="10" t="s">
        <v>234</v>
      </c>
    </row>
    <row r="34" spans="1:2" x14ac:dyDescent="0.3">
      <c r="A34" s="9" t="s">
        <v>342</v>
      </c>
      <c r="B34" s="10" t="s">
        <v>343</v>
      </c>
    </row>
    <row r="35" spans="1:2" x14ac:dyDescent="0.3">
      <c r="A35" s="9" t="s">
        <v>235</v>
      </c>
      <c r="B35" s="10" t="s">
        <v>236</v>
      </c>
    </row>
    <row r="36" spans="1:2" x14ac:dyDescent="0.3">
      <c r="A36" s="9" t="s">
        <v>237</v>
      </c>
      <c r="B36" s="10" t="s">
        <v>238</v>
      </c>
    </row>
    <row r="37" spans="1:2" x14ac:dyDescent="0.3">
      <c r="A37" s="9" t="s">
        <v>239</v>
      </c>
      <c r="B37" s="10" t="s">
        <v>240</v>
      </c>
    </row>
    <row r="38" spans="1:2" x14ac:dyDescent="0.3">
      <c r="A38" s="9" t="s">
        <v>241</v>
      </c>
      <c r="B38" s="10" t="s">
        <v>242</v>
      </c>
    </row>
    <row r="39" spans="1:2" x14ac:dyDescent="0.3">
      <c r="A39" s="9" t="s">
        <v>243</v>
      </c>
      <c r="B39" s="10" t="s">
        <v>244</v>
      </c>
    </row>
    <row r="40" spans="1:2" x14ac:dyDescent="0.3">
      <c r="A40" s="9" t="s">
        <v>360</v>
      </c>
      <c r="B40" s="10" t="s">
        <v>361</v>
      </c>
    </row>
    <row r="41" spans="1:2" x14ac:dyDescent="0.3">
      <c r="A41" s="9" t="s">
        <v>245</v>
      </c>
      <c r="B41" s="10" t="s">
        <v>246</v>
      </c>
    </row>
    <row r="42" spans="1:2" x14ac:dyDescent="0.3">
      <c r="A42" s="9" t="s">
        <v>247</v>
      </c>
      <c r="B42" s="10" t="s">
        <v>248</v>
      </c>
    </row>
    <row r="43" spans="1:2" x14ac:dyDescent="0.3">
      <c r="A43" s="9" t="s">
        <v>249</v>
      </c>
      <c r="B43" s="10" t="s">
        <v>250</v>
      </c>
    </row>
    <row r="44" spans="1:2" x14ac:dyDescent="0.3">
      <c r="A44" s="9" t="s">
        <v>251</v>
      </c>
      <c r="B44" s="10" t="s">
        <v>252</v>
      </c>
    </row>
    <row r="45" spans="1:2" x14ac:dyDescent="0.3">
      <c r="A45" s="9" t="s">
        <v>345</v>
      </c>
      <c r="B45" s="10" t="s">
        <v>344</v>
      </c>
    </row>
    <row r="46" spans="1:2" x14ac:dyDescent="0.3">
      <c r="A46" s="9" t="s">
        <v>253</v>
      </c>
      <c r="B46" s="10" t="s">
        <v>254</v>
      </c>
    </row>
    <row r="47" spans="1:2" x14ac:dyDescent="0.3">
      <c r="A47" s="9" t="s">
        <v>362</v>
      </c>
      <c r="B47" s="10" t="s">
        <v>363</v>
      </c>
    </row>
    <row r="48" spans="1:2" x14ac:dyDescent="0.3">
      <c r="A48" s="9" t="s">
        <v>255</v>
      </c>
      <c r="B48" s="10" t="s">
        <v>256</v>
      </c>
    </row>
    <row r="49" spans="1:2" x14ac:dyDescent="0.3">
      <c r="A49" s="9" t="s">
        <v>257</v>
      </c>
      <c r="B49" s="10" t="s">
        <v>258</v>
      </c>
    </row>
    <row r="50" spans="1:2" x14ac:dyDescent="0.3">
      <c r="A50" s="9" t="s">
        <v>259</v>
      </c>
      <c r="B50" s="10" t="s">
        <v>259</v>
      </c>
    </row>
    <row r="51" spans="1:2" x14ac:dyDescent="0.3">
      <c r="A51" s="9" t="s">
        <v>260</v>
      </c>
      <c r="B51" s="10" t="s">
        <v>261</v>
      </c>
    </row>
    <row r="52" spans="1:2" x14ac:dyDescent="0.3">
      <c r="A52" s="9" t="s">
        <v>262</v>
      </c>
      <c r="B52" s="10" t="s">
        <v>263</v>
      </c>
    </row>
    <row r="53" spans="1:2" x14ac:dyDescent="0.3">
      <c r="A53" s="9" t="s">
        <v>264</v>
      </c>
      <c r="B53" s="10" t="s">
        <v>265</v>
      </c>
    </row>
    <row r="54" spans="1:2" x14ac:dyDescent="0.3">
      <c r="A54" s="9" t="s">
        <v>266</v>
      </c>
      <c r="B54" s="10" t="s">
        <v>267</v>
      </c>
    </row>
    <row r="55" spans="1:2" x14ac:dyDescent="0.3">
      <c r="A55" s="9" t="s">
        <v>156</v>
      </c>
      <c r="B55" s="10" t="s">
        <v>268</v>
      </c>
    </row>
    <row r="56" spans="1:2" x14ac:dyDescent="0.3">
      <c r="A56" s="9" t="s">
        <v>346</v>
      </c>
      <c r="B56" s="10" t="s">
        <v>346</v>
      </c>
    </row>
    <row r="57" spans="1:2" x14ac:dyDescent="0.3">
      <c r="A57" s="9" t="s">
        <v>336</v>
      </c>
      <c r="B57" s="10" t="s">
        <v>337</v>
      </c>
    </row>
    <row r="58" spans="1:2" x14ac:dyDescent="0.3">
      <c r="A58" s="9" t="s">
        <v>269</v>
      </c>
      <c r="B58" s="10" t="s">
        <v>270</v>
      </c>
    </row>
    <row r="59" spans="1:2" x14ac:dyDescent="0.3">
      <c r="A59" s="9" t="s">
        <v>340</v>
      </c>
      <c r="B59" s="10" t="s">
        <v>341</v>
      </c>
    </row>
    <row r="60" spans="1:2" x14ac:dyDescent="0.3">
      <c r="A60" s="9" t="s">
        <v>271</v>
      </c>
      <c r="B60" s="10" t="s">
        <v>272</v>
      </c>
    </row>
    <row r="61" spans="1:2" x14ac:dyDescent="0.3">
      <c r="A61" s="9" t="s">
        <v>273</v>
      </c>
      <c r="B61" s="10" t="s">
        <v>274</v>
      </c>
    </row>
    <row r="62" spans="1:2" x14ac:dyDescent="0.3">
      <c r="A62" s="9" t="s">
        <v>177</v>
      </c>
      <c r="B62" s="49" t="s">
        <v>275</v>
      </c>
    </row>
    <row r="63" spans="1:2" x14ac:dyDescent="0.3">
      <c r="A63" s="9" t="s">
        <v>276</v>
      </c>
      <c r="B63" s="10" t="s">
        <v>277</v>
      </c>
    </row>
    <row r="64" spans="1:2" x14ac:dyDescent="0.3">
      <c r="A64" s="9" t="s">
        <v>278</v>
      </c>
      <c r="B64" s="10" t="s">
        <v>279</v>
      </c>
    </row>
    <row r="65" spans="1:2" x14ac:dyDescent="0.3">
      <c r="A65" s="9" t="s">
        <v>280</v>
      </c>
      <c r="B65" s="10" t="s">
        <v>281</v>
      </c>
    </row>
    <row r="66" spans="1:2" x14ac:dyDescent="0.3">
      <c r="A66" s="9" t="s">
        <v>282</v>
      </c>
      <c r="B66" s="10" t="s">
        <v>283</v>
      </c>
    </row>
    <row r="67" spans="1:2" x14ac:dyDescent="0.3">
      <c r="A67" s="9" t="s">
        <v>358</v>
      </c>
      <c r="B67" s="10" t="s">
        <v>359</v>
      </c>
    </row>
    <row r="68" spans="1:2" x14ac:dyDescent="0.3">
      <c r="A68" s="9" t="s">
        <v>284</v>
      </c>
      <c r="B68" s="10" t="s">
        <v>285</v>
      </c>
    </row>
    <row r="69" spans="1:2" x14ac:dyDescent="0.3">
      <c r="A69" s="9" t="s">
        <v>286</v>
      </c>
      <c r="B69" s="10" t="s">
        <v>287</v>
      </c>
    </row>
    <row r="70" spans="1:2" x14ac:dyDescent="0.3">
      <c r="A70" s="9" t="s">
        <v>288</v>
      </c>
      <c r="B70" s="10" t="s">
        <v>289</v>
      </c>
    </row>
    <row r="71" spans="1:2" x14ac:dyDescent="0.3">
      <c r="A71" s="9" t="s">
        <v>290</v>
      </c>
      <c r="B71" s="10" t="s">
        <v>291</v>
      </c>
    </row>
    <row r="72" spans="1:2" x14ac:dyDescent="0.3">
      <c r="A72" s="9" t="s">
        <v>292</v>
      </c>
      <c r="B72" s="10" t="s">
        <v>293</v>
      </c>
    </row>
    <row r="73" spans="1:2" x14ac:dyDescent="0.3">
      <c r="A73" s="9" t="s">
        <v>294</v>
      </c>
      <c r="B73" s="10" t="s">
        <v>295</v>
      </c>
    </row>
    <row r="74" spans="1:2" x14ac:dyDescent="0.3">
      <c r="A74" s="9" t="s">
        <v>296</v>
      </c>
      <c r="B74" s="10" t="s">
        <v>297</v>
      </c>
    </row>
    <row r="75" spans="1:2" x14ac:dyDescent="0.3">
      <c r="A75" s="9" t="s">
        <v>347</v>
      </c>
      <c r="B75" s="10" t="s">
        <v>348</v>
      </c>
    </row>
    <row r="76" spans="1:2" x14ac:dyDescent="0.3">
      <c r="A76" s="9" t="s">
        <v>298</v>
      </c>
      <c r="B76" s="10" t="s">
        <v>299</v>
      </c>
    </row>
    <row r="77" spans="1:2" x14ac:dyDescent="0.3">
      <c r="A77" s="9" t="s">
        <v>352</v>
      </c>
      <c r="B77" s="10" t="s">
        <v>353</v>
      </c>
    </row>
    <row r="78" spans="1:2" x14ac:dyDescent="0.3">
      <c r="A78" s="9" t="s">
        <v>351</v>
      </c>
      <c r="B78" s="10" t="s">
        <v>351</v>
      </c>
    </row>
    <row r="79" spans="1:2" ht="15" thickBot="1" x14ac:dyDescent="0.35">
      <c r="A79" s="380" t="s">
        <v>354</v>
      </c>
      <c r="B79" s="381" t="s">
        <v>355</v>
      </c>
    </row>
    <row r="80" spans="1:2" x14ac:dyDescent="0.3">
      <c r="A80" t="s">
        <v>300</v>
      </c>
      <c r="B80">
        <v>2025</v>
      </c>
    </row>
  </sheetData>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169F12A772684AA61B60AF49785D53" ma:contentTypeVersion="22" ma:contentTypeDescription="Create a new document." ma:contentTypeScope="" ma:versionID="6e3b438be3fc9894397ba537bdb65658">
  <xsd:schema xmlns:xsd="http://www.w3.org/2001/XMLSchema" xmlns:xs="http://www.w3.org/2001/XMLSchema" xmlns:p="http://schemas.microsoft.com/office/2006/metadata/properties" xmlns:ns2="a289a5ce-fa6a-444c-9a6a-b29d5589704e" xmlns:ns3="839b9600-e92e-4202-b5ff-28b432d5f288" targetNamespace="http://schemas.microsoft.com/office/2006/metadata/properties" ma:root="true" ma:fieldsID="40a337d593dd63299ea39c22e2421352" ns2:_="" ns3:_="">
    <xsd:import namespace="a289a5ce-fa6a-444c-9a6a-b29d5589704e"/>
    <xsd:import namespace="839b9600-e92e-4202-b5ff-28b432d5f288"/>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89a5ce-fa6a-444c-9a6a-b29d5589704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6fb09a8e-279a-45a8-b58f-c98883804cda}" ma:internalName="TaxCatchAll" ma:showField="CatchAllData" ma:web="a289a5ce-fa6a-444c-9a6a-b29d5589704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9b9600-e92e-4202-b5ff-28b432d5f288"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9dd221d-10ee-45aa-8bb6-1b05c9d3543f"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289a5ce-fa6a-444c-9a6a-b29d5589704e" xsi:nil="true"/>
    <lcf76f155ced4ddcb4097134ff3c332f xmlns="839b9600-e92e-4202-b5ff-28b432d5f2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BAFE69-AD1C-4C83-8700-BF3E524C0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89a5ce-fa6a-444c-9a6a-b29d5589704e"/>
    <ds:schemaRef ds:uri="839b9600-e92e-4202-b5ff-28b432d5f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0D2C90-C52D-4FD8-AC70-AD7C46DB0763}">
  <ds:schemaRefs>
    <ds:schemaRef ds:uri="http://schemas.microsoft.com/sharepoint/v3/contenttype/forms"/>
  </ds:schemaRefs>
</ds:datastoreItem>
</file>

<file path=customXml/itemProps3.xml><?xml version="1.0" encoding="utf-8"?>
<ds:datastoreItem xmlns:ds="http://schemas.openxmlformats.org/officeDocument/2006/customXml" ds:itemID="{40CBF320-D110-482B-B72C-2A10BF3DDDE2}">
  <ds:schemaRefs>
    <ds:schemaRef ds:uri="http://schemas.microsoft.com/office/2006/metadata/properties"/>
    <ds:schemaRef ds:uri="http://schemas.microsoft.com/office/infopath/2007/PartnerControls"/>
    <ds:schemaRef ds:uri="a289a5ce-fa6a-444c-9a6a-b29d5589704e"/>
    <ds:schemaRef ds:uri="839b9600-e92e-4202-b5ff-28b432d5f28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Trends</vt:lpstr>
      <vt:lpstr>Independent Groups</vt:lpstr>
      <vt:lpstr>OEM-owned groups</vt:lpstr>
      <vt:lpstr>Brand Key</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Bailey</dc:creator>
  <cp:lastModifiedBy>Jane Trace</cp:lastModifiedBy>
  <cp:revision/>
  <dcterms:created xsi:type="dcterms:W3CDTF">2018-08-28T15:49:50Z</dcterms:created>
  <dcterms:modified xsi:type="dcterms:W3CDTF">2025-11-17T14:18:04Z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0x01010071169F12A772684AA61B60AF49785D53</vt:lpwstr>
  </property>
</Properties>
</file>