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aj60053018\Desktop\Ir. Don Laught\2026\others\"/>
    </mc:Choice>
  </mc:AlternateContent>
  <xr:revisionPtr revIDLastSave="0" documentId="8_{BD0200CB-0575-48C1-AD84-E2AA865CA623}" xr6:coauthVersionLast="47" xr6:coauthVersionMax="47" xr10:uidLastSave="{00000000-0000-0000-0000-000000000000}"/>
  <bookViews>
    <workbookView xWindow="-110" yWindow="-110" windowWidth="19420" windowHeight="10300" tabRatio="762" xr2:uid="{1FF73EE2-E1CB-4AF0-A3B6-B153FAD99508}"/>
  </bookViews>
  <sheets>
    <sheet name="JAN" sheetId="83" r:id="rId1"/>
    <sheet name="INVESTMENT" sheetId="91" r:id="rId2"/>
    <sheet name="REF" sheetId="92" r:id="rId3"/>
    <sheet name="Compounding" sheetId="93" r:id="rId4"/>
    <sheet name="Travel" sheetId="9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94" l="1"/>
  <c r="T4" i="93"/>
  <c r="U4" i="93"/>
  <c r="T5" i="93"/>
  <c r="U5" i="93"/>
  <c r="T6" i="93"/>
  <c r="U6" i="93"/>
  <c r="T7" i="93"/>
  <c r="U7" i="93"/>
  <c r="T8" i="93"/>
  <c r="U8" i="93"/>
  <c r="T9" i="93"/>
  <c r="U9" i="93"/>
  <c r="T10" i="93"/>
  <c r="U10" i="93"/>
  <c r="T11" i="93"/>
  <c r="U11" i="93"/>
  <c r="T12" i="93"/>
  <c r="U12" i="93"/>
  <c r="T13" i="93"/>
  <c r="U13" i="93"/>
  <c r="T14" i="93"/>
  <c r="U14" i="93"/>
  <c r="T15" i="93"/>
  <c r="U15" i="93"/>
  <c r="T16" i="93"/>
  <c r="U16" i="93"/>
  <c r="T17" i="93"/>
  <c r="U17" i="93"/>
  <c r="T18" i="93"/>
  <c r="U18" i="93"/>
  <c r="T19" i="93"/>
  <c r="U19" i="93"/>
  <c r="T20" i="93"/>
  <c r="U20" i="93"/>
  <c r="T21" i="93"/>
  <c r="U21" i="93"/>
  <c r="T22" i="93"/>
  <c r="U22" i="93"/>
  <c r="T23" i="93"/>
  <c r="U23" i="93"/>
  <c r="T24" i="93"/>
  <c r="U24" i="93"/>
  <c r="T25" i="93"/>
  <c r="U25" i="93"/>
  <c r="T26" i="93"/>
  <c r="U26" i="93"/>
  <c r="T27" i="93"/>
  <c r="U27" i="93"/>
  <c r="T28" i="93"/>
  <c r="U28" i="93"/>
  <c r="T29" i="93"/>
  <c r="U29" i="93"/>
  <c r="T30" i="93"/>
  <c r="U30" i="93"/>
  <c r="T31" i="93"/>
  <c r="U31" i="93"/>
  <c r="T32" i="93"/>
  <c r="U32" i="93"/>
  <c r="T33" i="93"/>
  <c r="U33" i="93"/>
  <c r="T34" i="93"/>
  <c r="U34" i="93"/>
  <c r="T35" i="93"/>
  <c r="U35" i="93"/>
  <c r="T36" i="93"/>
  <c r="U36" i="93"/>
  <c r="T37" i="93"/>
  <c r="U37" i="93"/>
  <c r="U3" i="93"/>
  <c r="C20" i="91"/>
  <c r="Q19" i="91"/>
  <c r="X21" i="94"/>
  <c r="Y21" i="94"/>
  <c r="U21" i="94"/>
  <c r="V21" i="94"/>
  <c r="R21" i="94"/>
  <c r="S21" i="94"/>
  <c r="O21" i="94"/>
  <c r="P21" i="94"/>
  <c r="L21" i="94"/>
  <c r="M21" i="94"/>
  <c r="J21" i="94"/>
  <c r="I21" i="94"/>
  <c r="F21" i="94"/>
  <c r="G21" i="94"/>
  <c r="X20" i="94"/>
  <c r="Y20" i="94"/>
  <c r="W20" i="94"/>
  <c r="T20" i="94"/>
  <c r="U20" i="94"/>
  <c r="V20" i="94"/>
  <c r="R20" i="94"/>
  <c r="S20" i="94"/>
  <c r="Q20" i="94"/>
  <c r="N20" i="94"/>
  <c r="O20" i="94"/>
  <c r="P20" i="94"/>
  <c r="L20" i="94"/>
  <c r="M20" i="94"/>
  <c r="K20" i="94"/>
  <c r="H20" i="94"/>
  <c r="I20" i="94"/>
  <c r="J20" i="94"/>
  <c r="E20" i="94"/>
  <c r="F20" i="94"/>
  <c r="G20" i="94"/>
  <c r="O19" i="94"/>
  <c r="P19" i="94"/>
  <c r="D19" i="94"/>
  <c r="X19" i="94"/>
  <c r="Y19" i="94"/>
  <c r="X18" i="94"/>
  <c r="Y18" i="94"/>
  <c r="R18" i="94"/>
  <c r="S18" i="94"/>
  <c r="O18" i="94"/>
  <c r="P18" i="94"/>
  <c r="L18" i="94"/>
  <c r="M18" i="94"/>
  <c r="I18" i="94"/>
  <c r="J18" i="94"/>
  <c r="F18" i="94"/>
  <c r="G18" i="94"/>
  <c r="D18" i="94"/>
  <c r="U18" i="94"/>
  <c r="V18" i="94"/>
  <c r="X17" i="94"/>
  <c r="Y17" i="94"/>
  <c r="L17" i="94"/>
  <c r="M17" i="94"/>
  <c r="D17" i="94"/>
  <c r="U17" i="94"/>
  <c r="V17" i="94"/>
  <c r="X16" i="94"/>
  <c r="Y16" i="94"/>
  <c r="U16" i="94"/>
  <c r="V16" i="94"/>
  <c r="R16" i="94"/>
  <c r="S16" i="94"/>
  <c r="O16" i="94"/>
  <c r="P16" i="94"/>
  <c r="L16" i="94"/>
  <c r="M16" i="94"/>
  <c r="I16" i="94"/>
  <c r="J16" i="94"/>
  <c r="F16" i="94"/>
  <c r="G16" i="94"/>
  <c r="X15" i="94"/>
  <c r="Y15" i="94"/>
  <c r="U15" i="94"/>
  <c r="V15" i="94"/>
  <c r="R15" i="94"/>
  <c r="S15" i="94"/>
  <c r="O15" i="94"/>
  <c r="P15" i="94"/>
  <c r="L15" i="94"/>
  <c r="M15" i="94"/>
  <c r="I15" i="94"/>
  <c r="J15" i="94"/>
  <c r="F15" i="94"/>
  <c r="G15" i="94"/>
  <c r="O14" i="94"/>
  <c r="P14" i="94"/>
  <c r="D14" i="94"/>
  <c r="X14" i="94"/>
  <c r="Y13" i="94"/>
  <c r="X13" i="94"/>
  <c r="U13" i="94"/>
  <c r="V13" i="94"/>
  <c r="R13" i="94"/>
  <c r="S13" i="94"/>
  <c r="O13" i="94"/>
  <c r="P13" i="94"/>
  <c r="M13" i="94"/>
  <c r="L13" i="94"/>
  <c r="I13" i="94"/>
  <c r="J13" i="94"/>
  <c r="F13" i="94"/>
  <c r="G13" i="94"/>
  <c r="X12" i="94"/>
  <c r="Y12" i="94"/>
  <c r="V12" i="94"/>
  <c r="U12" i="94"/>
  <c r="R12" i="94"/>
  <c r="S12" i="94"/>
  <c r="O12" i="94"/>
  <c r="P12" i="94"/>
  <c r="L12" i="94"/>
  <c r="M12" i="94"/>
  <c r="J12" i="94"/>
  <c r="I12" i="94"/>
  <c r="F12" i="94"/>
  <c r="G12" i="94"/>
  <c r="Y14" i="94"/>
  <c r="Y22" i="94"/>
  <c r="Y23" i="94"/>
  <c r="X23" i="94"/>
  <c r="X22" i="94"/>
  <c r="F14" i="94"/>
  <c r="G14" i="94"/>
  <c r="G22" i="94"/>
  <c r="G23" i="94"/>
  <c r="F23" i="94"/>
  <c r="R14" i="94"/>
  <c r="S14" i="94"/>
  <c r="O17" i="94"/>
  <c r="P17" i="94"/>
  <c r="P22" i="94"/>
  <c r="P23" i="94"/>
  <c r="O23" i="94"/>
  <c r="F19" i="94"/>
  <c r="G19" i="94"/>
  <c r="R19" i="94"/>
  <c r="S19" i="94"/>
  <c r="I14" i="94"/>
  <c r="J14" i="94"/>
  <c r="J22" i="94"/>
  <c r="J23" i="94"/>
  <c r="I23" i="94"/>
  <c r="U14" i="94"/>
  <c r="V14" i="94"/>
  <c r="V22" i="94"/>
  <c r="V23" i="94"/>
  <c r="U23" i="94"/>
  <c r="F17" i="94"/>
  <c r="G17" i="94"/>
  <c r="R17" i="94"/>
  <c r="S17" i="94"/>
  <c r="S22" i="94"/>
  <c r="S23" i="94"/>
  <c r="R23" i="94"/>
  <c r="I19" i="94"/>
  <c r="J19" i="94"/>
  <c r="U19" i="94"/>
  <c r="V19" i="94"/>
  <c r="L14" i="94"/>
  <c r="I17" i="94"/>
  <c r="J17" i="94"/>
  <c r="L19" i="94"/>
  <c r="M19" i="94"/>
  <c r="F22" i="94"/>
  <c r="M14" i="94"/>
  <c r="M22" i="94"/>
  <c r="M23" i="94"/>
  <c r="L23" i="94"/>
  <c r="L22" i="94"/>
  <c r="O22" i="94"/>
  <c r="U22" i="94"/>
  <c r="R22" i="94"/>
  <c r="L37" i="93"/>
  <c r="E37" i="93"/>
  <c r="L36" i="93"/>
  <c r="E36" i="93"/>
  <c r="L35" i="93"/>
  <c r="E35" i="93"/>
  <c r="L34" i="93"/>
  <c r="E34" i="93"/>
  <c r="L33" i="93"/>
  <c r="E33" i="93"/>
  <c r="L32" i="93"/>
  <c r="E32" i="93"/>
  <c r="L31" i="93"/>
  <c r="E31" i="93"/>
  <c r="L30" i="93"/>
  <c r="E30" i="93"/>
  <c r="L29" i="93"/>
  <c r="E29" i="93"/>
  <c r="L28" i="93"/>
  <c r="E28" i="93"/>
  <c r="L27" i="93"/>
  <c r="E27" i="93"/>
  <c r="L26" i="93"/>
  <c r="E26" i="93"/>
  <c r="R25" i="93"/>
  <c r="L25" i="93"/>
  <c r="E25" i="93"/>
  <c r="L24" i="93"/>
  <c r="E24" i="93"/>
  <c r="L23" i="93"/>
  <c r="E23" i="93"/>
  <c r="L22" i="93"/>
  <c r="E22" i="93"/>
  <c r="L21" i="93"/>
  <c r="E21" i="93"/>
  <c r="L20" i="93"/>
  <c r="E20" i="93"/>
  <c r="L19" i="93"/>
  <c r="E19" i="93"/>
  <c r="L18" i="93"/>
  <c r="E18" i="93"/>
  <c r="L17" i="93"/>
  <c r="E17" i="93"/>
  <c r="L16" i="93"/>
  <c r="E16" i="93"/>
  <c r="L15" i="93"/>
  <c r="E15" i="93"/>
  <c r="L14" i="93"/>
  <c r="E14" i="93"/>
  <c r="L13" i="93"/>
  <c r="E13" i="93"/>
  <c r="P12" i="93"/>
  <c r="Q12" i="93"/>
  <c r="Q13" i="93"/>
  <c r="L12" i="93"/>
  <c r="E12" i="93"/>
  <c r="P11" i="93"/>
  <c r="L11" i="93"/>
  <c r="E11" i="93"/>
  <c r="P10" i="93"/>
  <c r="L10" i="93"/>
  <c r="E10" i="93"/>
  <c r="P9" i="93"/>
  <c r="L9" i="93"/>
  <c r="E9" i="93"/>
  <c r="P8" i="93"/>
  <c r="L8" i="93"/>
  <c r="E8" i="93"/>
  <c r="P7" i="93"/>
  <c r="L7" i="93"/>
  <c r="E7" i="93"/>
  <c r="P6" i="93"/>
  <c r="L6" i="93"/>
  <c r="E6" i="93"/>
  <c r="P5" i="93"/>
  <c r="Q5" i="93"/>
  <c r="L5" i="93"/>
  <c r="E5" i="93"/>
  <c r="P4" i="93"/>
  <c r="Q4" i="93"/>
  <c r="L4" i="93"/>
  <c r="E4" i="93"/>
  <c r="Q3" i="93"/>
  <c r="P3" i="93"/>
  <c r="L3" i="93"/>
  <c r="M3" i="93"/>
  <c r="D3" i="93"/>
  <c r="F3" i="93"/>
  <c r="R3" i="93"/>
  <c r="H17" i="83"/>
  <c r="I17" i="83"/>
  <c r="H16" i="83"/>
  <c r="I16" i="83"/>
  <c r="H9" i="83"/>
  <c r="D4" i="83"/>
  <c r="H10" i="83"/>
  <c r="D7" i="83"/>
  <c r="Q15" i="91"/>
  <c r="Q14" i="91"/>
  <c r="Q17" i="91"/>
  <c r="C15" i="91"/>
  <c r="Q5" i="91"/>
  <c r="C3" i="91"/>
  <c r="C6" i="91"/>
  <c r="C10" i="91"/>
  <c r="Q7" i="91"/>
  <c r="Q8" i="91"/>
  <c r="C21" i="92"/>
  <c r="C25" i="92"/>
  <c r="P18" i="92"/>
  <c r="C14" i="92"/>
  <c r="P7" i="92"/>
  <c r="P11" i="92"/>
  <c r="C7" i="92"/>
  <c r="R21" i="83"/>
  <c r="M18" i="83"/>
  <c r="O18" i="83"/>
  <c r="O19" i="83"/>
  <c r="D5" i="83"/>
  <c r="H8" i="83"/>
  <c r="O21" i="83"/>
  <c r="D14" i="83"/>
  <c r="H21" i="83"/>
  <c r="H23" i="83"/>
  <c r="H12" i="83"/>
  <c r="I12" i="83"/>
  <c r="I9" i="83"/>
  <c r="I10" i="83"/>
  <c r="D21" i="83"/>
  <c r="D24" i="83"/>
  <c r="D25" i="83"/>
  <c r="D26" i="83"/>
  <c r="D27" i="83"/>
  <c r="D28" i="83"/>
  <c r="D29" i="83"/>
  <c r="D30" i="83"/>
  <c r="D31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H5" i="83"/>
  <c r="H11" i="83"/>
  <c r="I11" i="83"/>
  <c r="H13" i="83"/>
  <c r="I13" i="83"/>
  <c r="C4" i="93"/>
  <c r="D4" i="93"/>
  <c r="N3" i="93"/>
  <c r="Q8" i="93"/>
  <c r="Q9" i="93"/>
  <c r="Q10" i="93"/>
  <c r="Q11" i="93"/>
  <c r="Q6" i="93"/>
  <c r="M4" i="93"/>
  <c r="Q7" i="93"/>
  <c r="M5" i="93"/>
  <c r="M6" i="93"/>
  <c r="M7" i="93"/>
  <c r="M8" i="93"/>
  <c r="M9" i="93"/>
  <c r="M10" i="93"/>
  <c r="M11" i="93"/>
  <c r="M12" i="93"/>
  <c r="M13" i="93"/>
  <c r="M14" i="93"/>
  <c r="M15" i="93"/>
  <c r="M16" i="93"/>
  <c r="M17" i="93"/>
  <c r="M18" i="93"/>
  <c r="M19" i="93"/>
  <c r="M20" i="93"/>
  <c r="M21" i="93"/>
  <c r="M22" i="93"/>
  <c r="M23" i="93"/>
  <c r="M24" i="93"/>
  <c r="M25" i="93"/>
  <c r="M26" i="93"/>
  <c r="M27" i="93"/>
  <c r="M28" i="93"/>
  <c r="M29" i="93"/>
  <c r="M30" i="93"/>
  <c r="M31" i="93"/>
  <c r="M32" i="93"/>
  <c r="M33" i="93"/>
  <c r="M34" i="93"/>
  <c r="M35" i="93"/>
  <c r="M36" i="93"/>
  <c r="M37" i="93"/>
  <c r="M38" i="93"/>
  <c r="C23" i="91"/>
  <c r="Q20" i="91"/>
  <c r="F4" i="93"/>
  <c r="N4" i="93"/>
  <c r="R4" i="93"/>
  <c r="C5" i="93"/>
  <c r="D5" i="93"/>
  <c r="F5" i="93"/>
  <c r="C6" i="93"/>
  <c r="R5" i="93"/>
  <c r="N5" i="93"/>
  <c r="D6" i="93"/>
  <c r="F6" i="93"/>
  <c r="R6" i="93"/>
  <c r="C7" i="93"/>
  <c r="N6" i="93"/>
  <c r="D7" i="93"/>
  <c r="F7" i="93"/>
  <c r="C8" i="93"/>
  <c r="R7" i="93"/>
  <c r="N7" i="93"/>
  <c r="D8" i="93"/>
  <c r="F8" i="93"/>
  <c r="N8" i="93"/>
  <c r="C9" i="93"/>
  <c r="R8" i="93"/>
  <c r="D9" i="93"/>
  <c r="F9" i="93"/>
  <c r="C10" i="93"/>
  <c r="R9" i="93"/>
  <c r="N9" i="93"/>
  <c r="D10" i="93"/>
  <c r="F10" i="93"/>
  <c r="R10" i="93"/>
  <c r="N10" i="93"/>
  <c r="C11" i="93"/>
  <c r="D11" i="93"/>
  <c r="F11" i="93"/>
  <c r="N11" i="93"/>
  <c r="C12" i="93"/>
  <c r="R11" i="93"/>
  <c r="D12" i="93"/>
  <c r="F12" i="93"/>
  <c r="R12" i="93"/>
  <c r="C13" i="93"/>
  <c r="N12" i="93"/>
  <c r="Q14" i="93"/>
  <c r="D13" i="93"/>
  <c r="F13" i="93"/>
  <c r="C14" i="93"/>
  <c r="N13" i="93"/>
  <c r="D14" i="93"/>
  <c r="F14" i="93"/>
  <c r="C15" i="93"/>
  <c r="N14" i="93"/>
  <c r="D15" i="93"/>
  <c r="F15" i="93"/>
  <c r="N15" i="93"/>
  <c r="C16" i="93"/>
  <c r="D16" i="93"/>
  <c r="F16" i="93"/>
  <c r="C17" i="93"/>
  <c r="N16" i="93"/>
  <c r="F17" i="93"/>
  <c r="D17" i="93"/>
  <c r="N17" i="93"/>
  <c r="C18" i="93"/>
  <c r="F18" i="93"/>
  <c r="D18" i="93"/>
  <c r="N18" i="93"/>
  <c r="C19" i="93"/>
  <c r="D19" i="93"/>
  <c r="F19" i="93"/>
  <c r="N19" i="93"/>
  <c r="C20" i="93"/>
  <c r="D20" i="93"/>
  <c r="F20" i="93"/>
  <c r="N20" i="93"/>
  <c r="C21" i="93"/>
  <c r="D21" i="93"/>
  <c r="F21" i="93"/>
  <c r="N21" i="93"/>
  <c r="C22" i="93"/>
  <c r="D22" i="93"/>
  <c r="F22" i="93"/>
  <c r="N22" i="93"/>
  <c r="C23" i="93"/>
  <c r="F23" i="93"/>
  <c r="D23" i="93"/>
  <c r="C24" i="93"/>
  <c r="N23" i="93"/>
  <c r="D24" i="93"/>
  <c r="F24" i="93"/>
  <c r="C25" i="93"/>
  <c r="N24" i="93"/>
  <c r="F25" i="93"/>
  <c r="D25" i="93"/>
  <c r="N25" i="93"/>
  <c r="C26" i="93"/>
  <c r="D26" i="93"/>
  <c r="F26" i="93"/>
  <c r="N26" i="93"/>
  <c r="C27" i="93"/>
  <c r="D27" i="93"/>
  <c r="F27" i="93"/>
  <c r="C28" i="93"/>
  <c r="N27" i="93"/>
  <c r="D28" i="93"/>
  <c r="F28" i="93"/>
  <c r="C29" i="93"/>
  <c r="N28" i="93"/>
  <c r="D29" i="93"/>
  <c r="F29" i="93"/>
  <c r="C30" i="93"/>
  <c r="N29" i="93"/>
  <c r="D30" i="93"/>
  <c r="F30" i="93"/>
  <c r="C31" i="93"/>
  <c r="N30" i="93"/>
  <c r="D31" i="93"/>
  <c r="F31" i="93"/>
  <c r="C32" i="93"/>
  <c r="N31" i="93"/>
  <c r="D32" i="93"/>
  <c r="F32" i="93"/>
  <c r="C33" i="93"/>
  <c r="N32" i="93"/>
  <c r="D33" i="93"/>
  <c r="F33" i="93"/>
  <c r="N33" i="93"/>
  <c r="C34" i="93"/>
  <c r="D34" i="93"/>
  <c r="F34" i="93"/>
  <c r="C35" i="93"/>
  <c r="N34" i="93"/>
  <c r="F35" i="93"/>
  <c r="D35" i="93"/>
  <c r="C36" i="93"/>
  <c r="N35" i="93"/>
  <c r="D36" i="93"/>
  <c r="F36" i="93"/>
  <c r="N36" i="93"/>
  <c r="C37" i="93"/>
  <c r="D37" i="93"/>
  <c r="F37" i="93"/>
  <c r="M39" i="93"/>
  <c r="N37" i="93"/>
</calcChain>
</file>

<file path=xl/sharedStrings.xml><?xml version="1.0" encoding="utf-8"?>
<sst xmlns="http://schemas.openxmlformats.org/spreadsheetml/2006/main" count="220" uniqueCount="158">
  <si>
    <t>Balance:</t>
  </si>
  <si>
    <t>Total</t>
  </si>
  <si>
    <t>Fixed Expenses</t>
  </si>
  <si>
    <t>Minus Net/Take Away</t>
  </si>
  <si>
    <t>Net Pay:</t>
  </si>
  <si>
    <t>Food(s):</t>
  </si>
  <si>
    <t>TOTAL</t>
  </si>
  <si>
    <t>Expenses</t>
  </si>
  <si>
    <t>&lt; Any BF?</t>
  </si>
  <si>
    <t>God (10):</t>
  </si>
  <si>
    <t>per buy</t>
  </si>
  <si>
    <r>
      <t>Office lunch (</t>
    </r>
    <r>
      <rPr>
        <b/>
        <sz val="11"/>
        <color indexed="8"/>
        <rFont val="Calibri"/>
        <family val="2"/>
      </rPr>
      <t>if</t>
    </r>
    <r>
      <rPr>
        <sz val="11"/>
        <color theme="1"/>
        <rFont val="Calibri"/>
        <family val="2"/>
        <scheme val="minor"/>
      </rPr>
      <t>)</t>
    </r>
  </si>
  <si>
    <t>Vege</t>
  </si>
  <si>
    <t>Chicken/fish</t>
  </si>
  <si>
    <t>Entertainment (20):</t>
  </si>
  <si>
    <t>Sat a.m. (Market)</t>
  </si>
  <si>
    <t>visit QTY</t>
  </si>
  <si>
    <t>NA</t>
  </si>
  <si>
    <t>Sat a.m. (Market) Calculation</t>
  </si>
  <si>
    <t>Other Spending</t>
  </si>
  <si>
    <t>Surplus</t>
  </si>
  <si>
    <t>Net PAY:</t>
  </si>
  <si>
    <t>F1:</t>
  </si>
  <si>
    <t>What your Money now Worth in the next "n" Year? Also, your PV money now equivalent in "n" years to come (i.e. inflation)</t>
  </si>
  <si>
    <t>F5:</t>
  </si>
  <si>
    <r>
      <t xml:space="preserve">How much money you need to put in today if you want to withdraw PMT amount of money annually each </t>
    </r>
    <r>
      <rPr>
        <b/>
        <sz val="11"/>
        <color indexed="8"/>
        <rFont val="Calibri"/>
        <family val="2"/>
      </rPr>
      <t>end</t>
    </r>
    <r>
      <rPr>
        <sz val="11"/>
        <color theme="1"/>
        <rFont val="Calibri"/>
        <family val="2"/>
        <scheme val="minor"/>
      </rPr>
      <t xml:space="preserve"> year in the next "n" year?</t>
    </r>
  </si>
  <si>
    <t>FV = PV (1+i)^n</t>
  </si>
  <si>
    <t>PVoa = PMT x [(1 - (1/(1+i)^n)/i)</t>
  </si>
  <si>
    <t>PV =</t>
  </si>
  <si>
    <t>PMT =</t>
  </si>
  <si>
    <t>i =</t>
  </si>
  <si>
    <t>n =</t>
  </si>
  <si>
    <t>Answer:</t>
  </si>
  <si>
    <t>F2:</t>
  </si>
  <si>
    <t>What lum sump Money you need to put today to get FV that you want in the next "n" year?</t>
  </si>
  <si>
    <t>F6:</t>
  </si>
  <si>
    <r>
      <t xml:space="preserve">How much money you need to put in today if you want to withdraw PMT amount of money annually each </t>
    </r>
    <r>
      <rPr>
        <b/>
        <sz val="11"/>
        <color indexed="8"/>
        <rFont val="Calibri"/>
        <family val="2"/>
      </rPr>
      <t>beginning</t>
    </r>
    <r>
      <rPr>
        <sz val="11"/>
        <color theme="1"/>
        <rFont val="Calibri"/>
        <family val="2"/>
        <scheme val="minor"/>
      </rPr>
      <t xml:space="preserve"> year in the next "n" year?</t>
    </r>
  </si>
  <si>
    <t>PV = FV /  (1+i)^n</t>
  </si>
  <si>
    <t>PVad = PVoa (1+i)</t>
  </si>
  <si>
    <t>FV =</t>
  </si>
  <si>
    <t>F7:</t>
  </si>
  <si>
    <t>How much I need to have in the investment account for me to withdraw PMT amount yearly without disturbing the principle?</t>
  </si>
  <si>
    <t>PV = PMT / i</t>
  </si>
  <si>
    <t>F3:</t>
  </si>
  <si>
    <r>
      <t xml:space="preserve">What happen if you put PMT amount of money </t>
    </r>
    <r>
      <rPr>
        <b/>
        <sz val="11"/>
        <color indexed="8"/>
        <rFont val="Calibri"/>
        <family val="2"/>
      </rPr>
      <t>end</t>
    </r>
    <r>
      <rPr>
        <sz val="11"/>
        <color theme="1"/>
        <rFont val="Calibri"/>
        <family val="2"/>
        <scheme val="minor"/>
      </rPr>
      <t xml:space="preserve"> of each year (no withdrawal, just let it compound) for the next "n" year?</t>
    </r>
  </si>
  <si>
    <t>FVoa = PMT x  [((1+i)^n - 1)/i)]</t>
  </si>
  <si>
    <t>F4:</t>
  </si>
  <si>
    <r>
      <t xml:space="preserve">What happen if you put PMT amount of money </t>
    </r>
    <r>
      <rPr>
        <b/>
        <sz val="11"/>
        <color indexed="8"/>
        <rFont val="Calibri"/>
        <family val="2"/>
      </rPr>
      <t>beginning</t>
    </r>
    <r>
      <rPr>
        <sz val="11"/>
        <color theme="1"/>
        <rFont val="Calibri"/>
        <family val="2"/>
        <scheme val="minor"/>
      </rPr>
      <t xml:space="preserve"> of each year (no withdrawal, just let it compound) for the next "n" year?</t>
    </r>
  </si>
  <si>
    <t>FVad = FVoa (1+i)</t>
  </si>
  <si>
    <r>
      <t xml:space="preserve">&lt;-- Link From </t>
    </r>
    <r>
      <rPr>
        <b/>
        <sz val="11"/>
        <color indexed="8"/>
        <rFont val="Calibri"/>
        <family val="2"/>
      </rPr>
      <t>F3</t>
    </r>
  </si>
  <si>
    <t>Investment</t>
  </si>
  <si>
    <t>Monthly</t>
  </si>
  <si>
    <t>Months</t>
  </si>
  <si>
    <t>Yearly</t>
  </si>
  <si>
    <t>EPF</t>
  </si>
  <si>
    <t>Monthly (you) - 11%</t>
  </si>
  <si>
    <t>Monthly (Company) - 12%</t>
  </si>
  <si>
    <t>Gross PAY:</t>
  </si>
  <si>
    <t>g =</t>
  </si>
  <si>
    <t>https://www.creditkarma.com/calculators/money/retirement</t>
  </si>
  <si>
    <t>AUTO</t>
  </si>
  <si>
    <t>MANUAL</t>
  </si>
  <si>
    <t>Side Income:</t>
  </si>
  <si>
    <t>Bank Balance:</t>
  </si>
  <si>
    <t>Bank Balance Now:</t>
  </si>
  <si>
    <t>God:</t>
  </si>
  <si>
    <t>Emergency Fund (Auto):</t>
  </si>
  <si>
    <t>Savings/Investment (Auto):</t>
  </si>
  <si>
    <t>Total Income:</t>
  </si>
  <si>
    <t>House/Room Rent:</t>
  </si>
  <si>
    <t>Car Loan:</t>
  </si>
  <si>
    <t>Utilities:</t>
  </si>
  <si>
    <t>Car Fuel:</t>
  </si>
  <si>
    <t>Insurance:</t>
  </si>
  <si>
    <t>Egg one tray</t>
  </si>
  <si>
    <t>Emergency Fund 3 months:</t>
  </si>
  <si>
    <t>Others</t>
  </si>
  <si>
    <t>Emergency Fund 1 month:</t>
  </si>
  <si>
    <t>Commitments (40):</t>
  </si>
  <si>
    <t>Savings (30):</t>
  </si>
  <si>
    <t>Amount</t>
  </si>
  <si>
    <t>4% from C10 Answer:</t>
  </si>
  <si>
    <t>35 years Basis</t>
  </si>
  <si>
    <t>10 years Basis</t>
  </si>
  <si>
    <t>Manual Simpan</t>
  </si>
  <si>
    <t>Age</t>
  </si>
  <si>
    <t>Year</t>
  </si>
  <si>
    <r>
      <t xml:space="preserve">In-Hand (Balance from </t>
    </r>
    <r>
      <rPr>
        <b/>
        <sz val="11"/>
        <color indexed="8"/>
        <rFont val="Calibri"/>
        <family val="2"/>
      </rPr>
      <t>previous year</t>
    </r>
    <r>
      <rPr>
        <sz val="11"/>
        <color theme="1"/>
        <rFont val="Calibri"/>
        <family val="2"/>
        <scheme val="minor"/>
      </rPr>
      <t>)</t>
    </r>
  </si>
  <si>
    <r>
      <t xml:space="preserve">Dividen/Bonus </t>
    </r>
    <r>
      <rPr>
        <b/>
        <sz val="11"/>
        <color indexed="8"/>
        <rFont val="Calibri"/>
        <family val="2"/>
      </rPr>
      <t>(%)</t>
    </r>
  </si>
  <si>
    <t>Year Term</t>
  </si>
  <si>
    <t>Money In/Out (Accumulative figure: Jan - Dec)</t>
  </si>
  <si>
    <t>Monthly installment</t>
  </si>
  <si>
    <t>Yearly amount paid</t>
  </si>
  <si>
    <t>Accumulative Value</t>
  </si>
  <si>
    <t>Profit Margin</t>
  </si>
  <si>
    <t>Dividen</t>
  </si>
  <si>
    <t>Actual Jan
(Cash in Hand)</t>
  </si>
  <si>
    <t>Minus Capital:</t>
  </si>
  <si>
    <t>Profit/loss:</t>
  </si>
  <si>
    <t>All time</t>
  </si>
  <si>
    <t>10 years</t>
  </si>
  <si>
    <t>5 years</t>
  </si>
  <si>
    <t>3 years</t>
  </si>
  <si>
    <t>Average</t>
  </si>
  <si>
    <t>Desired Budget (RM)</t>
  </si>
  <si>
    <t>FOREX</t>
  </si>
  <si>
    <t>Euro</t>
  </si>
  <si>
    <t>Night(s) Stay</t>
  </si>
  <si>
    <t>Pound</t>
  </si>
  <si>
    <t>USD</t>
  </si>
  <si>
    <t>Legend:</t>
  </si>
  <si>
    <t>Japan</t>
  </si>
  <si>
    <t>&lt;-- Adjustable figure</t>
  </si>
  <si>
    <t>Korea</t>
  </si>
  <si>
    <t>Baht</t>
  </si>
  <si>
    <t>Rupee</t>
  </si>
  <si>
    <t>To: Spain, Paris, Switzerland, Italy, etc</t>
  </si>
  <si>
    <t>To: London, Ireland, Scotland, UK Countries</t>
  </si>
  <si>
    <t>To: USA, Canada</t>
  </si>
  <si>
    <t>To: Japan</t>
  </si>
  <si>
    <t>To: Korea</t>
  </si>
  <si>
    <t>To: Thailand, Vietnam, Laos</t>
  </si>
  <si>
    <t>To: Indonesia</t>
  </si>
  <si>
    <t>Qty</t>
  </si>
  <si>
    <t>Price (Euro)</t>
  </si>
  <si>
    <t>Total (Euro)</t>
  </si>
  <si>
    <t>Price (RM)</t>
  </si>
  <si>
    <t>Price (Pound)</t>
  </si>
  <si>
    <t>Total (Pound)</t>
  </si>
  <si>
    <t>Price (USD)</t>
  </si>
  <si>
    <t>Total (USD)</t>
  </si>
  <si>
    <t>Price (Japan)</t>
  </si>
  <si>
    <t>Total (Japan)</t>
  </si>
  <si>
    <t>Price (Korea)</t>
  </si>
  <si>
    <t>Total (Korea)</t>
  </si>
  <si>
    <t>Price (Baht)</t>
  </si>
  <si>
    <t>Total (Baht)</t>
  </si>
  <si>
    <t>Price (Rupee)</t>
  </si>
  <si>
    <t>Total (Rupee)</t>
  </si>
  <si>
    <t>Logistic</t>
  </si>
  <si>
    <t>Flight</t>
  </si>
  <si>
    <t>Transport</t>
  </si>
  <si>
    <t>Hotel</t>
  </si>
  <si>
    <t>Tour</t>
  </si>
  <si>
    <t>Cellular (sim card)</t>
  </si>
  <si>
    <t>Meal</t>
  </si>
  <si>
    <t>Bfast</t>
  </si>
  <si>
    <t>Lunch</t>
  </si>
  <si>
    <t>Dinner</t>
  </si>
  <si>
    <t>Misc</t>
  </si>
  <si>
    <t>Safety</t>
  </si>
  <si>
    <t>Shopping</t>
  </si>
  <si>
    <t>Extra</t>
  </si>
  <si>
    <t>Monthly to Spend:</t>
  </si>
  <si>
    <t>Savings =</t>
  </si>
  <si>
    <r>
      <t>ASB 1</t>
    </r>
    <r>
      <rPr>
        <b/>
        <sz val="11"/>
        <color indexed="8"/>
        <rFont val="Calibri"/>
        <family val="2"/>
      </rPr>
      <t xml:space="preserve"> (Dividend %)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indexed="8"/>
        <rFont val="Calibri"/>
        <family val="2"/>
      </rPr>
      <t>(RM100,000)</t>
    </r>
  </si>
  <si>
    <r>
      <rPr>
        <sz val="11"/>
        <color indexed="9"/>
        <rFont val="Calibri"/>
        <family val="2"/>
      </rPr>
      <t xml:space="preserve">Total </t>
    </r>
    <r>
      <rPr>
        <b/>
        <sz val="11"/>
        <color indexed="9"/>
        <rFont val="Calibri"/>
        <family val="2"/>
      </rPr>
      <t>CASH in-Hand</t>
    </r>
    <r>
      <rPr>
        <sz val="11"/>
        <color indexed="9"/>
        <rFont val="Calibri"/>
        <family val="2"/>
      </rPr>
      <t xml:space="preserve"> NOW (1st Jan towards 31st Dec)
Anak + Balance + TopUp</t>
    </r>
  </si>
  <si>
    <t>4% from C20 Answer: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</si>
</sst>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RM&quot;#,##0;[Red]\-&quot;RM&quot;#,##0"/>
    <numFmt numFmtId="43" formatCode="_-* #,##0.00_-;\-* #,##0.00_-;_-* &quot;-&quot;??_-;_-@_-"/>
    <numFmt numFmtId="171" formatCode="_(* #,##0.00_);_(* \(#,##0.00\);_(* &quot;-&quot;??_);_(@_)"/>
    <numFmt numFmtId="174" formatCode="&quot;RM&quot;#,##0.00"/>
    <numFmt numFmtId="180" formatCode="&quot;RM&quot;#,##0"/>
    <numFmt numFmtId="191" formatCode="0.0%"/>
    <numFmt numFmtId="192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99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B494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71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6">
    <xf numFmtId="0" fontId="0" fillId="0" borderId="0" xfId="0"/>
    <xf numFmtId="0" fontId="7" fillId="0" borderId="0" xfId="0" applyFont="1"/>
    <xf numFmtId="174" fontId="0" fillId="0" borderId="0" xfId="0" applyNumberFormat="1" applyAlignment="1">
      <alignment horizontal="center"/>
    </xf>
    <xf numFmtId="0" fontId="0" fillId="0" borderId="1" xfId="0" applyBorder="1"/>
    <xf numFmtId="17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74" fontId="0" fillId="0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7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 vertical="center"/>
    </xf>
    <xf numFmtId="17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174" fontId="0" fillId="0" borderId="0" xfId="0" applyNumberFormat="1" applyFont="1" applyFill="1" applyBorder="1" applyAlignment="1">
      <alignment horizontal="center" vertical="center"/>
    </xf>
    <xf numFmtId="174" fontId="6" fillId="0" borderId="0" xfId="0" applyNumberFormat="1" applyFont="1" applyFill="1" applyBorder="1" applyAlignment="1"/>
    <xf numFmtId="174" fontId="7" fillId="0" borderId="0" xfId="0" applyNumberFormat="1" applyFont="1" applyFill="1" applyBorder="1" applyAlignment="1"/>
    <xf numFmtId="0" fontId="7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10" fontId="0" fillId="0" borderId="0" xfId="0" applyNumberFormat="1"/>
    <xf numFmtId="0" fontId="0" fillId="0" borderId="1" xfId="0" applyFill="1" applyBorder="1" applyAlignment="1"/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right"/>
    </xf>
    <xf numFmtId="14" fontId="0" fillId="0" borderId="0" xfId="0" applyNumberForma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0" fillId="4" borderId="1" xfId="0" applyFill="1" applyBorder="1"/>
    <xf numFmtId="174" fontId="7" fillId="0" borderId="0" xfId="0" applyNumberFormat="1" applyFont="1" applyAlignment="1">
      <alignment horizontal="center"/>
    </xf>
    <xf numFmtId="0" fontId="0" fillId="5" borderId="1" xfId="0" applyFill="1" applyBorder="1" applyAlignment="1">
      <alignment horizontal="right"/>
    </xf>
    <xf numFmtId="10" fontId="0" fillId="0" borderId="1" xfId="0" applyNumberFormat="1" applyBorder="1"/>
    <xf numFmtId="0" fontId="0" fillId="6" borderId="1" xfId="0" applyFill="1" applyBorder="1" applyAlignment="1">
      <alignment horizontal="right"/>
    </xf>
    <xf numFmtId="0" fontId="0" fillId="7" borderId="1" xfId="0" applyFill="1" applyBorder="1" applyAlignment="1">
      <alignment horizontal="right"/>
    </xf>
    <xf numFmtId="0" fontId="0" fillId="0" borderId="0" xfId="0" applyAlignment="1">
      <alignment horizontal="center"/>
    </xf>
    <xf numFmtId="174" fontId="9" fillId="0" borderId="1" xfId="0" applyNumberFormat="1" applyFont="1" applyBorder="1" applyAlignment="1">
      <alignment horizontal="center"/>
    </xf>
    <xf numFmtId="0" fontId="0" fillId="8" borderId="2" xfId="0" applyFill="1" applyBorder="1"/>
    <xf numFmtId="0" fontId="0" fillId="0" borderId="0" xfId="0" applyBorder="1" applyAlignment="1">
      <alignment horizontal="center" vertical="center"/>
    </xf>
    <xf numFmtId="0" fontId="0" fillId="9" borderId="1" xfId="0" applyFill="1" applyBorder="1" applyAlignment="1">
      <alignment horizontal="right"/>
    </xf>
    <xf numFmtId="0" fontId="0" fillId="0" borderId="0" xfId="0" applyBorder="1" applyAlignment="1">
      <alignment horizontal="center"/>
    </xf>
    <xf numFmtId="16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0" fontId="7" fillId="0" borderId="1" xfId="0" applyFont="1" applyFill="1" applyBorder="1" applyAlignment="1"/>
    <xf numFmtId="0" fontId="0" fillId="0" borderId="3" xfId="0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/>
    <xf numFmtId="6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6" fontId="12" fillId="0" borderId="0" xfId="0" applyNumberFormat="1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/>
    <xf numFmtId="0" fontId="6" fillId="10" borderId="1" xfId="0" applyFont="1" applyFill="1" applyBorder="1"/>
    <xf numFmtId="174" fontId="7" fillId="0" borderId="1" xfId="0" applyNumberFormat="1" applyFont="1" applyBorder="1" applyAlignment="1">
      <alignment horizontal="center"/>
    </xf>
    <xf numFmtId="174" fontId="7" fillId="0" borderId="0" xfId="1" applyNumberFormat="1" applyFont="1" applyFill="1" applyBorder="1" applyAlignment="1">
      <alignment horizontal="center" vertical="center"/>
    </xf>
    <xf numFmtId="174" fontId="4" fillId="0" borderId="0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174" fontId="0" fillId="0" borderId="1" xfId="0" applyNumberFormat="1" applyBorder="1"/>
    <xf numFmtId="9" fontId="4" fillId="0" borderId="1" xfId="2" applyFont="1" applyBorder="1"/>
    <xf numFmtId="0" fontId="7" fillId="0" borderId="1" xfId="0" applyFont="1" applyBorder="1" applyAlignment="1">
      <alignment horizontal="right"/>
    </xf>
    <xf numFmtId="174" fontId="0" fillId="8" borderId="1" xfId="0" applyNumberFormat="1" applyFill="1" applyBorder="1"/>
    <xf numFmtId="174" fontId="0" fillId="4" borderId="1" xfId="0" applyNumberFormat="1" applyFill="1" applyBorder="1"/>
    <xf numFmtId="0" fontId="0" fillId="0" borderId="1" xfId="0" applyNumberFormat="1" applyBorder="1"/>
    <xf numFmtId="0" fontId="0" fillId="8" borderId="0" xfId="0" applyFill="1"/>
    <xf numFmtId="0" fontId="0" fillId="4" borderId="0" xfId="0" applyFill="1"/>
    <xf numFmtId="0" fontId="7" fillId="8" borderId="2" xfId="0" applyFont="1" applyFill="1" applyBorder="1"/>
    <xf numFmtId="0" fontId="7" fillId="8" borderId="1" xfId="0" applyFont="1" applyFill="1" applyBorder="1"/>
    <xf numFmtId="0" fontId="6" fillId="0" borderId="0" xfId="0" applyFont="1" applyFill="1" applyBorder="1" applyAlignment="1">
      <alignment horizontal="center"/>
    </xf>
    <xf numFmtId="174" fontId="0" fillId="0" borderId="0" xfId="0" applyNumberFormat="1" applyFill="1" applyBorder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171" fontId="7" fillId="0" borderId="0" xfId="1" applyFont="1" applyFill="1" applyBorder="1" applyAlignment="1"/>
    <xf numFmtId="0" fontId="0" fillId="0" borderId="0" xfId="0" applyFill="1" applyBorder="1" applyAlignment="1">
      <alignment horizontal="right" vertical="center"/>
    </xf>
    <xf numFmtId="0" fontId="7" fillId="0" borderId="0" xfId="0" applyFont="1" applyFill="1" applyBorder="1"/>
    <xf numFmtId="43" fontId="7" fillId="0" borderId="0" xfId="0" applyNumberFormat="1" applyFont="1" applyFill="1" applyBorder="1"/>
    <xf numFmtId="171" fontId="7" fillId="0" borderId="0" xfId="1" applyFont="1" applyFill="1" applyBorder="1" applyAlignment="1">
      <alignment horizontal="right" vertical="center"/>
    </xf>
    <xf numFmtId="1" fontId="0" fillId="0" borderId="0" xfId="0" applyNumberFormat="1" applyFill="1" applyBorder="1" applyAlignment="1">
      <alignment horizontal="left"/>
    </xf>
    <xf numFmtId="0" fontId="6" fillId="12" borderId="1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  <xf numFmtId="174" fontId="6" fillId="13" borderId="0" xfId="0" applyNumberFormat="1" applyFont="1" applyFill="1"/>
    <xf numFmtId="0" fontId="7" fillId="0" borderId="0" xfId="0" applyFont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174" fontId="0" fillId="0" borderId="5" xfId="0" applyNumberFormat="1" applyBorder="1" applyAlignment="1">
      <alignment horizontal="center"/>
    </xf>
    <xf numFmtId="174" fontId="7" fillId="7" borderId="1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74" fontId="0" fillId="0" borderId="5" xfId="0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15" fillId="0" borderId="1" xfId="0" applyFont="1" applyBorder="1" applyAlignment="1">
      <alignment horizontal="center"/>
    </xf>
    <xf numFmtId="174" fontId="0" fillId="0" borderId="1" xfId="0" applyNumberFormat="1" applyBorder="1" applyAlignment="1">
      <alignment horizontal="center" vertical="center"/>
    </xf>
    <xf numFmtId="174" fontId="0" fillId="0" borderId="0" xfId="0" applyNumberFormat="1"/>
    <xf numFmtId="174" fontId="16" fillId="0" borderId="0" xfId="0" applyNumberFormat="1" applyFont="1" applyAlignment="1">
      <alignment horizontal="center" vertical="center"/>
    </xf>
    <xf numFmtId="174" fontId="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80" fontId="18" fillId="0" borderId="1" xfId="0" applyNumberFormat="1" applyFont="1" applyBorder="1" applyAlignment="1">
      <alignment horizontal="center" vertical="center"/>
    </xf>
    <xf numFmtId="174" fontId="19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92" fontId="4" fillId="8" borderId="0" xfId="1" applyNumberFormat="1" applyFont="1" applyFill="1"/>
    <xf numFmtId="0" fontId="0" fillId="14" borderId="0" xfId="0" applyFill="1"/>
    <xf numFmtId="192" fontId="4" fillId="8" borderId="0" xfId="1" applyNumberFormat="1" applyFont="1" applyFill="1" applyAlignment="1">
      <alignment horizontal="center" vertical="center"/>
    </xf>
    <xf numFmtId="0" fontId="20" fillId="0" borderId="0" xfId="0" applyFont="1"/>
    <xf numFmtId="4" fontId="0" fillId="14" borderId="0" xfId="0" applyNumberFormat="1" applyFill="1"/>
    <xf numFmtId="0" fontId="0" fillId="15" borderId="2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171" fontId="4" fillId="14" borderId="9" xfId="1" applyFont="1" applyFill="1" applyBorder="1" applyAlignment="1">
      <alignment horizontal="center" vertical="center"/>
    </xf>
    <xf numFmtId="171" fontId="4" fillId="0" borderId="0" xfId="1" applyFont="1" applyBorder="1" applyAlignment="1">
      <alignment horizontal="center" vertical="center"/>
    </xf>
    <xf numFmtId="171" fontId="4" fillId="0" borderId="10" xfId="1" applyFont="1" applyBorder="1" applyAlignment="1">
      <alignment horizontal="center" vertical="center"/>
    </xf>
    <xf numFmtId="171" fontId="4" fillId="0" borderId="9" xfId="1" applyFont="1" applyBorder="1" applyAlignment="1">
      <alignment horizontal="center" vertical="center"/>
    </xf>
    <xf numFmtId="171" fontId="4" fillId="0" borderId="9" xfId="1" applyFont="1" applyFill="1" applyBorder="1" applyAlignment="1">
      <alignment horizontal="center" vertical="center"/>
    </xf>
    <xf numFmtId="0" fontId="0" fillId="0" borderId="9" xfId="0" applyBorder="1"/>
    <xf numFmtId="192" fontId="0" fillId="0" borderId="0" xfId="0" applyNumberFormat="1" applyAlignment="1">
      <alignment horizontal="center" vertical="center"/>
    </xf>
    <xf numFmtId="171" fontId="7" fillId="7" borderId="10" xfId="1" applyFont="1" applyFill="1" applyBorder="1" applyAlignment="1">
      <alignment horizontal="center" vertical="center"/>
    </xf>
    <xf numFmtId="0" fontId="0" fillId="0" borderId="11" xfId="0" applyBorder="1"/>
    <xf numFmtId="43" fontId="0" fillId="0" borderId="0" xfId="0" applyNumberFormat="1" applyAlignment="1">
      <alignment horizontal="center" vertical="center"/>
    </xf>
    <xf numFmtId="0" fontId="0" fillId="0" borderId="0" xfId="0" applyAlignment="1">
      <alignment horizontal="right"/>
    </xf>
    <xf numFmtId="192" fontId="16" fillId="4" borderId="12" xfId="0" applyNumberFormat="1" applyFont="1" applyFill="1" applyBorder="1" applyAlignment="1">
      <alignment horizontal="center" vertical="center"/>
    </xf>
    <xf numFmtId="192" fontId="16" fillId="4" borderId="13" xfId="0" applyNumberFormat="1" applyFont="1" applyFill="1" applyBorder="1" applyAlignment="1">
      <alignment horizontal="center" vertical="center"/>
    </xf>
    <xf numFmtId="174" fontId="18" fillId="0" borderId="1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center"/>
    </xf>
    <xf numFmtId="191" fontId="9" fillId="16" borderId="15" xfId="2" applyNumberFormat="1" applyFont="1" applyFill="1" applyBorder="1" applyAlignment="1">
      <alignment horizontal="center"/>
    </xf>
    <xf numFmtId="180" fontId="18" fillId="0" borderId="0" xfId="0" applyNumberFormat="1" applyFont="1"/>
    <xf numFmtId="174" fontId="18" fillId="0" borderId="0" xfId="0" applyNumberFormat="1" applyFont="1"/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7" fillId="17" borderId="0" xfId="0" applyFont="1" applyFill="1" applyAlignment="1">
      <alignment horizontal="center" vertical="center"/>
    </xf>
    <xf numFmtId="0" fontId="13" fillId="18" borderId="0" xfId="0" applyFont="1" applyFill="1" applyAlignment="1">
      <alignment horizontal="center" vertical="center"/>
    </xf>
    <xf numFmtId="0" fontId="21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MY"/>
              <a:t>40:30:20:10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AE31-44E8-A17A-25C9728AFE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31-44E8-A17A-25C9728AFE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E31-44E8-A17A-25C9728AFE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31-44E8-A17A-25C9728AFE1D}"/>
              </c:ext>
            </c:extLst>
          </c:dPt>
          <c:dLbls>
            <c:dLbl>
              <c:idx val="1"/>
              <c:layout>
                <c:manualLayout>
                  <c:x val="9.2001215200136335E-2"/>
                  <c:y val="-6.02595759121796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31-44E8-A17A-25C9728AFE1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JAN!$G$9:$G$12</c:f>
              <c:strCache>
                <c:ptCount val="4"/>
                <c:pt idx="0">
                  <c:v>God (10):</c:v>
                </c:pt>
                <c:pt idx="1">
                  <c:v>Savings (30):</c:v>
                </c:pt>
                <c:pt idx="2">
                  <c:v>Commitments (40):</c:v>
                </c:pt>
                <c:pt idx="3">
                  <c:v>Entertainment (20):</c:v>
                </c:pt>
              </c:strCache>
            </c:strRef>
          </c:cat>
          <c:val>
            <c:numRef>
              <c:f>JAN!$H$9:$H$12</c:f>
              <c:numCache>
                <c:formatCode>"RM"#,##0.00</c:formatCode>
                <c:ptCount val="4"/>
                <c:pt idx="0">
                  <c:v>150</c:v>
                </c:pt>
                <c:pt idx="1">
                  <c:v>400</c:v>
                </c:pt>
                <c:pt idx="2">
                  <c:v>598</c:v>
                </c:pt>
                <c:pt idx="3">
                  <c:v>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E31-44E8-A17A-25C9728AFE1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31-44E8-A17A-25C9728AFE1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E31-44E8-A17A-25C9728AFE1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31-44E8-A17A-25C9728AFE1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E31-44E8-A17A-25C9728AFE1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JAN!$G$9:$G$12</c:f>
              <c:strCache>
                <c:ptCount val="4"/>
                <c:pt idx="0">
                  <c:v>God (10):</c:v>
                </c:pt>
                <c:pt idx="1">
                  <c:v>Savings (30):</c:v>
                </c:pt>
                <c:pt idx="2">
                  <c:v>Commitments (40):</c:v>
                </c:pt>
                <c:pt idx="3">
                  <c:v>Entertainment (20):</c:v>
                </c:pt>
              </c:strCache>
            </c:strRef>
          </c:cat>
          <c:val>
            <c:numRef>
              <c:f>JAN!$I$9:$I$12</c:f>
              <c:numCache>
                <c:formatCode>0.00%</c:formatCode>
                <c:ptCount val="4"/>
                <c:pt idx="0">
                  <c:v>0.1</c:v>
                </c:pt>
                <c:pt idx="1">
                  <c:v>0.26666666666666666</c:v>
                </c:pt>
                <c:pt idx="2">
                  <c:v>0.39866666666666667</c:v>
                </c:pt>
                <c:pt idx="3">
                  <c:v>0.23466666666666666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31-44E8-A17A-25C9728AF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127000</xdr:colOff>
      <xdr:row>1</xdr:row>
      <xdr:rowOff>76200</xdr:rowOff>
    </xdr:from>
    <xdr:to>
      <xdr:col>12</xdr:col>
      <xdr:colOff>209550</xdr:colOff>
      <xdr:row>14</xdr:row>
      <xdr:rowOff>114300</xdr:rowOff>
    </xdr:to>
    <xdr:graphicFrame macro="">
      <xdr:nvGraphicFramePr>
        <xdr:cNvPr id="24996683" name="Chart 2">
          <a:extLst>
            <a:ext uri="{FF2B5EF4-FFF2-40B4-BE49-F238E27FC236}">
              <a16:creationId xmlns:a16="http://schemas.microsoft.com/office/drawing/2014/main" id="{98E17022-8645-326B-27F4-436AB2898F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362859</xdr:colOff>
      <xdr:row>1</xdr:row>
      <xdr:rowOff>63500</xdr:rowOff>
    </xdr:from>
    <xdr:to>
      <xdr:col>10</xdr:col>
      <xdr:colOff>163287</xdr:colOff>
      <xdr:row>6</xdr:row>
      <xdr:rowOff>117928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A01E189-F3F9-4A7A-EF03-ACFCA5A55958}"/>
            </a:ext>
          </a:extLst>
        </xdr:cNvPr>
        <xdr:cNvSpPr/>
      </xdr:nvSpPr>
      <xdr:spPr>
        <a:xfrm>
          <a:off x="2394859" y="3009900"/>
          <a:ext cx="4067628" cy="97517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800"/>
            <a:t>&lt;--</a:t>
          </a:r>
          <a:r>
            <a:rPr lang="en-MY" sz="800" baseline="0"/>
            <a:t> For monthly precise payment that you want to know, then change the:</a:t>
          </a:r>
        </a:p>
        <a:p>
          <a:pPr algn="l"/>
          <a:r>
            <a:rPr lang="en-MY" sz="800" baseline="0"/>
            <a:t>      "i" to monthly interest (meaning if 12%, then divided with 12 months = 1%)</a:t>
          </a:r>
        </a:p>
        <a:p>
          <a:pPr algn="l"/>
          <a:r>
            <a:rPr lang="en-MY" sz="800" baseline="0"/>
            <a:t>       "n" to months (i.e. 10 years times 12 months = 120 months)</a:t>
          </a:r>
        </a:p>
        <a:p>
          <a:pPr algn="l"/>
          <a:r>
            <a:rPr lang="en-MY" sz="800" baseline="0"/>
            <a:t>  </a:t>
          </a:r>
        </a:p>
        <a:p>
          <a:pPr algn="l"/>
          <a:r>
            <a:rPr lang="en-MY" sz="800" baseline="0"/>
            <a:t>Then you will get precise monthly PMT rather than yearly PMT.</a:t>
          </a:r>
        </a:p>
        <a:p>
          <a:pPr algn="l"/>
          <a:r>
            <a:rPr lang="en-MY" sz="800" baseline="0"/>
            <a:t>BUT use the "what-if Analysis" --&gt; goal seek in Excel to do that - to find out how much monthly you need to pump in to get the desire FV in the "n" year to come</a:t>
          </a:r>
          <a:endParaRPr lang="en-MY" sz="800"/>
        </a:p>
      </xdr:txBody>
    </xdr:sp>
    <xdr:clientData/>
  </xdr:twoCellAnchor>
  <xdr:twoCellAnchor>
    <xdr:from>
      <xdr:col>3</xdr:col>
      <xdr:colOff>362859</xdr:colOff>
      <xdr:row>13</xdr:row>
      <xdr:rowOff>63500</xdr:rowOff>
    </xdr:from>
    <xdr:to>
      <xdr:col>10</xdr:col>
      <xdr:colOff>163287</xdr:colOff>
      <xdr:row>18</xdr:row>
      <xdr:rowOff>117928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BEDFAD4-36A8-800D-38D5-D40B3189DB69}"/>
            </a:ext>
          </a:extLst>
        </xdr:cNvPr>
        <xdr:cNvSpPr/>
      </xdr:nvSpPr>
      <xdr:spPr>
        <a:xfrm>
          <a:off x="2394859" y="607786"/>
          <a:ext cx="4054928" cy="961571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800"/>
            <a:t>&lt;--</a:t>
          </a:r>
          <a:r>
            <a:rPr lang="en-MY" sz="800" baseline="0"/>
            <a:t> For monthly precise payment that you want to know, then change the:</a:t>
          </a:r>
        </a:p>
        <a:p>
          <a:pPr algn="l"/>
          <a:r>
            <a:rPr lang="en-MY" sz="800" baseline="0"/>
            <a:t>      "i" to monthly interest (meaning if 12%, then divided with 12 months = 1%)</a:t>
          </a:r>
        </a:p>
        <a:p>
          <a:pPr algn="l"/>
          <a:r>
            <a:rPr lang="en-MY" sz="800" baseline="0"/>
            <a:t>       "n" to months (i.e. 10 years times 12 months = 120 months)</a:t>
          </a:r>
        </a:p>
        <a:p>
          <a:pPr algn="l"/>
          <a:r>
            <a:rPr lang="en-MY" sz="800" baseline="0"/>
            <a:t>  </a:t>
          </a:r>
        </a:p>
        <a:p>
          <a:pPr algn="l"/>
          <a:r>
            <a:rPr lang="en-MY" sz="800" baseline="0"/>
            <a:t>Then you will get precise monthly PMT rather than yearly PMT.</a:t>
          </a:r>
        </a:p>
        <a:p>
          <a:pPr algn="l"/>
          <a:r>
            <a:rPr lang="en-MY" sz="800" baseline="0"/>
            <a:t>BUT use the "what-if Analysis" --&gt; goal seek in Excel to do that - to find out how much monthly you need to pump in to get the desire FV in the "n" year to come</a:t>
          </a:r>
          <a:endParaRPr lang="en-MY" sz="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553357</xdr:colOff>
      <xdr:row>5</xdr:row>
      <xdr:rowOff>154214</xdr:rowOff>
    </xdr:from>
    <xdr:to>
      <xdr:col>18</xdr:col>
      <xdr:colOff>589642</xdr:colOff>
      <xdr:row>7</xdr:row>
      <xdr:rowOff>63499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E51367B-D774-B995-E50F-DFBA493AECDF}"/>
            </a:ext>
          </a:extLst>
        </xdr:cNvPr>
        <xdr:cNvSpPr/>
      </xdr:nvSpPr>
      <xdr:spPr>
        <a:xfrm>
          <a:off x="10891157" y="1074964"/>
          <a:ext cx="1255485" cy="27758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1100"/>
            <a:t>&lt;--</a:t>
          </a:r>
          <a:r>
            <a:rPr lang="en-MY" sz="1100" baseline="0"/>
            <a:t> ZERO BASED</a:t>
          </a:r>
          <a:endParaRPr lang="en-MY" sz="1100"/>
        </a:p>
      </xdr:txBody>
    </xdr:sp>
    <xdr:clientData/>
  </xdr:twoCellAnchor>
  <xdr:twoCellAnchor>
    <xdr:from>
      <xdr:col>3</xdr:col>
      <xdr:colOff>362859</xdr:colOff>
      <xdr:row>16</xdr:row>
      <xdr:rowOff>63500</xdr:rowOff>
    </xdr:from>
    <xdr:to>
      <xdr:col>10</xdr:col>
      <xdr:colOff>163287</xdr:colOff>
      <xdr:row>21</xdr:row>
      <xdr:rowOff>117928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E6E34B7-2F64-57EE-8373-CAD00D442A05}"/>
            </a:ext>
          </a:extLst>
        </xdr:cNvPr>
        <xdr:cNvSpPr/>
      </xdr:nvSpPr>
      <xdr:spPr>
        <a:xfrm>
          <a:off x="2394859" y="3009900"/>
          <a:ext cx="4067628" cy="975178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MY" sz="800"/>
            <a:t>&lt;--</a:t>
          </a:r>
          <a:r>
            <a:rPr lang="en-MY" sz="800" baseline="0"/>
            <a:t> For monthly precise payment that you want to know, then change the:</a:t>
          </a:r>
        </a:p>
        <a:p>
          <a:pPr algn="l"/>
          <a:r>
            <a:rPr lang="en-MY" sz="800" baseline="0"/>
            <a:t>      "i" to monthly interest (meaning if 12%, then divided with 12 months = 1%)</a:t>
          </a:r>
        </a:p>
        <a:p>
          <a:pPr algn="l"/>
          <a:r>
            <a:rPr lang="en-MY" sz="800" baseline="0"/>
            <a:t>       "n" to months (i.e. 10 years times 12 months = 120 months)</a:t>
          </a:r>
        </a:p>
        <a:p>
          <a:pPr algn="l"/>
          <a:r>
            <a:rPr lang="en-MY" sz="800" baseline="0"/>
            <a:t>  </a:t>
          </a:r>
        </a:p>
        <a:p>
          <a:pPr algn="l"/>
          <a:r>
            <a:rPr lang="en-MY" sz="800" baseline="0"/>
            <a:t>Then you will get precise monthly PMT rather than yearly PMT.</a:t>
          </a:r>
        </a:p>
        <a:p>
          <a:pPr algn="l"/>
          <a:r>
            <a:rPr lang="en-MY" sz="800" baseline="0"/>
            <a:t>BUT use the "what-if Analysis" --&gt; goal seek in Excel to do that - to find out how much monthly you need to pump in to get the desire FV in the "n" year to come</a:t>
          </a:r>
          <a:endParaRPr lang="en-MY" sz="8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117930</xdr:colOff>
      <xdr:row>3</xdr:row>
      <xdr:rowOff>154214</xdr:rowOff>
    </xdr:from>
    <xdr:to>
      <xdr:col>7</xdr:col>
      <xdr:colOff>435430</xdr:colOff>
      <xdr:row>5</xdr:row>
      <xdr:rowOff>45357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BEB28-B2D4-296B-C4E7-032CE13DCF21}"/>
            </a:ext>
          </a:extLst>
        </xdr:cNvPr>
        <xdr:cNvSpPr txBox="1"/>
      </xdr:nvSpPr>
      <xdr:spPr>
        <a:xfrm>
          <a:off x="4318001" y="698500"/>
          <a:ext cx="1986643" cy="2540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MY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 Malaysian Ringgit equals --&gt;</a:t>
          </a:r>
          <a:endParaRPr lang="en-MY" sz="1100" b="1"/>
        </a:p>
      </xdr:txBody>
    </xdr:sp>
    <xdr:clientData/>
  </xdr:twoCellAnchor>
  <xdr:twoCellAnchor>
    <xdr:from>
      <xdr:col>7</xdr:col>
      <xdr:colOff>571499</xdr:colOff>
      <xdr:row>1</xdr:row>
      <xdr:rowOff>45355</xdr:rowOff>
    </xdr:from>
    <xdr:to>
      <xdr:col>7</xdr:col>
      <xdr:colOff>725713</xdr:colOff>
      <xdr:row>8</xdr:row>
      <xdr:rowOff>18141</xdr:rowOff>
    </xdr:to>
    <xdr:sp macro="" textlink="">
      <xdr:nvSpPr>
        <xdr:cNvPr id="3" name="Left Brace 2">
          <a:extLst>
            <a:ext uri="{FF2B5EF4-FFF2-40B4-BE49-F238E27FC236}">
              <a16:creationId xmlns:a16="http://schemas.microsoft.com/office/drawing/2014/main" id="{A9890A37-9CDD-8DEB-A343-88CD96A7766F}"/>
            </a:ext>
          </a:extLst>
        </xdr:cNvPr>
        <xdr:cNvSpPr/>
      </xdr:nvSpPr>
      <xdr:spPr>
        <a:xfrm>
          <a:off x="6440713" y="226784"/>
          <a:ext cx="154214" cy="1242786"/>
        </a:xfrm>
        <a:prstGeom prst="leftBrace">
          <a:avLst/>
        </a:prstGeom>
        <a:ln w="15875">
          <a:solidFill>
            <a:schemeClr val="accent6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en-MY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19F5A-3BC8-4454-BEE7-B3CA310FBDD6}">
  <dimension ref="B1:R63"/>
  <sheetViews>
    <sheetView showGridLines="0" tabSelected="1" zoomScale="60" zoomScaleNormal="60" workbookViewId="0">
      <selection activeCell="D1" sqref="D1"/>
    </sheetView>
  </sheetViews>
  <sheetFormatPr defaultRowHeight="14.5" x14ac:dyDescent="0.35"/>
  <cols>
    <col min="1" max="1" width="4.1796875" customWidth="1"/>
    <col min="2" max="2" width="3.08984375" style="42" bestFit="1" customWidth="1"/>
    <col min="3" max="3" width="23" customWidth="1"/>
    <col min="4" max="4" width="15" style="42" customWidth="1"/>
    <col min="5" max="5" width="10.08984375" customWidth="1"/>
    <col min="6" max="6" width="8.7265625" customWidth="1"/>
    <col min="7" max="7" width="23.6328125" bestFit="1" customWidth="1"/>
    <col min="8" max="8" width="28.08984375" style="42" bestFit="1" customWidth="1"/>
    <col min="9" max="9" width="10.54296875" bestFit="1" customWidth="1"/>
    <col min="10" max="10" width="20.08984375" style="42" customWidth="1"/>
    <col min="11" max="11" width="23" style="10" bestFit="1" customWidth="1"/>
    <col min="12" max="12" width="18.1796875" bestFit="1" customWidth="1"/>
    <col min="13" max="13" width="8.7265625" customWidth="1"/>
    <col min="14" max="14" width="11" bestFit="1" customWidth="1"/>
    <col min="15" max="15" width="8.7265625" customWidth="1"/>
    <col min="16" max="16" width="9.7265625" bestFit="1" customWidth="1"/>
    <col min="17" max="17" width="17.36328125" style="9" customWidth="1"/>
    <col min="18" max="18" width="6.26953125" customWidth="1"/>
  </cols>
  <sheetData>
    <row r="1" spans="2:18" x14ac:dyDescent="0.35">
      <c r="C1" s="44" t="s">
        <v>57</v>
      </c>
      <c r="D1" s="4">
        <v>1700</v>
      </c>
    </row>
    <row r="2" spans="2:18" x14ac:dyDescent="0.35">
      <c r="C2" s="79" t="s">
        <v>21</v>
      </c>
      <c r="D2" s="4">
        <v>1500</v>
      </c>
    </row>
    <row r="3" spans="2:18" x14ac:dyDescent="0.35">
      <c r="C3" s="80" t="s">
        <v>62</v>
      </c>
      <c r="D3" s="4">
        <v>0</v>
      </c>
    </row>
    <row r="4" spans="2:18" ht="15" thickBot="1" x14ac:dyDescent="0.4">
      <c r="C4" s="62" t="s">
        <v>68</v>
      </c>
      <c r="D4" s="63">
        <f>SUM(D2:D3)</f>
        <v>1500</v>
      </c>
    </row>
    <row r="5" spans="2:18" ht="15" thickBot="1" x14ac:dyDescent="0.4">
      <c r="C5" s="36" t="s">
        <v>63</v>
      </c>
      <c r="D5" s="4">
        <f>0+D4</f>
        <v>1500</v>
      </c>
      <c r="G5" s="96" t="s">
        <v>64</v>
      </c>
      <c r="H5" s="37">
        <f>D7+D8+D9+D10+D11+D12+D13+D14+D15+D16+D17+D18+D19+D20+D47</f>
        <v>1500</v>
      </c>
    </row>
    <row r="6" spans="2:18" x14ac:dyDescent="0.35">
      <c r="D6" s="2"/>
    </row>
    <row r="7" spans="2:18" x14ac:dyDescent="0.35">
      <c r="B7" s="68">
        <v>1</v>
      </c>
      <c r="C7" s="3" t="s">
        <v>65</v>
      </c>
      <c r="D7" s="8">
        <f>(10%*(D2+D3))+E7</f>
        <v>150</v>
      </c>
      <c r="E7" s="42"/>
      <c r="F7" s="5" t="s">
        <v>8</v>
      </c>
      <c r="L7" s="13"/>
      <c r="M7" s="147"/>
      <c r="N7" s="147"/>
      <c r="O7" s="147"/>
      <c r="P7" s="13"/>
      <c r="Q7" s="33"/>
    </row>
    <row r="8" spans="2:18" x14ac:dyDescent="0.35">
      <c r="B8" s="68">
        <v>2</v>
      </c>
      <c r="C8" s="3" t="s">
        <v>66</v>
      </c>
      <c r="D8" s="8">
        <v>200</v>
      </c>
      <c r="G8" s="10" t="s">
        <v>4</v>
      </c>
      <c r="H8" s="2">
        <f>D4</f>
        <v>1500</v>
      </c>
      <c r="L8" s="13"/>
      <c r="M8" s="17"/>
      <c r="N8" s="17"/>
      <c r="O8" s="17"/>
      <c r="P8" s="13"/>
      <c r="Q8" s="12"/>
    </row>
    <row r="9" spans="2:18" x14ac:dyDescent="0.35">
      <c r="B9" s="69">
        <v>3</v>
      </c>
      <c r="C9" s="3" t="s">
        <v>67</v>
      </c>
      <c r="D9" s="8">
        <v>200</v>
      </c>
      <c r="G9" s="40" t="s">
        <v>9</v>
      </c>
      <c r="H9" s="4">
        <f>10%*(D2+D3)</f>
        <v>150</v>
      </c>
      <c r="I9" s="39">
        <f>(H9/H8)</f>
        <v>0.1</v>
      </c>
      <c r="J9"/>
      <c r="K9"/>
      <c r="L9" s="13"/>
      <c r="M9" s="48"/>
      <c r="N9" s="49"/>
      <c r="O9" s="16"/>
      <c r="P9" s="13"/>
      <c r="Q9" s="12"/>
    </row>
    <row r="10" spans="2:18" x14ac:dyDescent="0.35">
      <c r="B10" s="69">
        <v>4</v>
      </c>
      <c r="C10" s="3" t="s">
        <v>69</v>
      </c>
      <c r="D10" s="8">
        <v>300</v>
      </c>
      <c r="G10" s="46" t="s">
        <v>79</v>
      </c>
      <c r="H10" s="4">
        <f>D8+D9</f>
        <v>400</v>
      </c>
      <c r="I10" s="39">
        <f>(H10/H8)</f>
        <v>0.26666666666666666</v>
      </c>
      <c r="J10"/>
      <c r="K10"/>
      <c r="L10" s="13"/>
      <c r="M10" s="48"/>
      <c r="N10" s="49"/>
      <c r="O10" s="16"/>
      <c r="P10" s="13"/>
      <c r="Q10" s="12"/>
    </row>
    <row r="11" spans="2:18" x14ac:dyDescent="0.35">
      <c r="B11" s="69">
        <v>5</v>
      </c>
      <c r="C11" s="59" t="s">
        <v>70</v>
      </c>
      <c r="D11" s="4">
        <v>0</v>
      </c>
      <c r="G11" s="41" t="s">
        <v>78</v>
      </c>
      <c r="H11" s="4">
        <f>(D10+D11+D12+D13+D14+D15+D16+D17+D18+D19+D20)</f>
        <v>598</v>
      </c>
      <c r="I11" s="39">
        <f>(H11/H8)</f>
        <v>0.39866666666666667</v>
      </c>
      <c r="J11"/>
      <c r="K11"/>
      <c r="L11" s="13"/>
      <c r="M11" s="48"/>
      <c r="N11" s="49"/>
      <c r="O11" s="16"/>
      <c r="P11" s="13"/>
      <c r="Q11" s="12"/>
    </row>
    <row r="12" spans="2:18" x14ac:dyDescent="0.35">
      <c r="B12" s="69">
        <v>6</v>
      </c>
      <c r="C12" s="3" t="s">
        <v>72</v>
      </c>
      <c r="D12" s="4">
        <v>0</v>
      </c>
      <c r="G12" s="38" t="s">
        <v>14</v>
      </c>
      <c r="H12" s="4">
        <f>H23</f>
        <v>352</v>
      </c>
      <c r="I12" s="39">
        <f>(H12/H8)</f>
        <v>0.23466666666666666</v>
      </c>
      <c r="J12"/>
      <c r="K12"/>
      <c r="L12" s="13"/>
      <c r="M12" s="48"/>
      <c r="N12" s="49"/>
      <c r="O12" s="16"/>
      <c r="P12" s="13"/>
      <c r="Q12" s="12"/>
    </row>
    <row r="13" spans="2:18" x14ac:dyDescent="0.35">
      <c r="B13" s="69">
        <v>7</v>
      </c>
      <c r="C13" s="3" t="s">
        <v>71</v>
      </c>
      <c r="D13" s="8">
        <v>50</v>
      </c>
      <c r="H13" s="2">
        <f>SUM(H9:H12)</f>
        <v>1500</v>
      </c>
      <c r="I13" s="27">
        <f>SUM(I9:I12)</f>
        <v>1</v>
      </c>
      <c r="L13" s="13"/>
      <c r="M13" s="48"/>
      <c r="N13" s="49"/>
      <c r="O13" s="16"/>
      <c r="P13" s="13"/>
      <c r="Q13" s="12"/>
    </row>
    <row r="14" spans="2:18" x14ac:dyDescent="0.35">
      <c r="B14" s="69">
        <v>8</v>
      </c>
      <c r="C14" s="7" t="s">
        <v>5</v>
      </c>
      <c r="D14" s="4">
        <f>O21</f>
        <v>248</v>
      </c>
    </row>
    <row r="15" spans="2:18" x14ac:dyDescent="0.35">
      <c r="B15" s="69">
        <v>9</v>
      </c>
      <c r="C15" s="7" t="s">
        <v>73</v>
      </c>
      <c r="D15" s="4">
        <v>0</v>
      </c>
      <c r="G15" s="17"/>
      <c r="H15" s="88" t="s">
        <v>80</v>
      </c>
      <c r="I15" s="5" t="s">
        <v>52</v>
      </c>
    </row>
    <row r="16" spans="2:18" x14ac:dyDescent="0.35">
      <c r="B16" s="69">
        <v>10</v>
      </c>
      <c r="C16" s="7" t="s">
        <v>17</v>
      </c>
      <c r="D16" s="4">
        <v>0</v>
      </c>
      <c r="G16" s="95" t="s">
        <v>75</v>
      </c>
      <c r="H16" s="8">
        <f>D2*3</f>
        <v>4500</v>
      </c>
      <c r="I16" s="69">
        <f>H16/D8</f>
        <v>22.5</v>
      </c>
      <c r="M16" s="45"/>
      <c r="N16" s="45"/>
      <c r="O16" s="45"/>
      <c r="P16" s="45"/>
      <c r="Q16" s="52" t="s">
        <v>18</v>
      </c>
      <c r="R16" s="52"/>
    </row>
    <row r="17" spans="2:18" s="42" customFormat="1" x14ac:dyDescent="0.35">
      <c r="B17" s="69">
        <v>11</v>
      </c>
      <c r="C17" s="7" t="s">
        <v>17</v>
      </c>
      <c r="D17" s="4">
        <v>0</v>
      </c>
      <c r="G17" s="95" t="s">
        <v>77</v>
      </c>
      <c r="H17" s="8">
        <f>D2</f>
        <v>1500</v>
      </c>
      <c r="I17" s="69">
        <f>H17/D8</f>
        <v>7.5</v>
      </c>
      <c r="K17" s="81"/>
      <c r="L17" s="30" t="s">
        <v>7</v>
      </c>
      <c r="M17" s="30" t="s">
        <v>10</v>
      </c>
      <c r="N17" s="30" t="s">
        <v>16</v>
      </c>
      <c r="O17" s="30" t="s">
        <v>1</v>
      </c>
      <c r="P17" s="45"/>
      <c r="Q17" s="50" t="s">
        <v>74</v>
      </c>
      <c r="R17" s="28">
        <v>18</v>
      </c>
    </row>
    <row r="18" spans="2:18" x14ac:dyDescent="0.35">
      <c r="B18" s="69">
        <v>12</v>
      </c>
      <c r="C18" s="3" t="s">
        <v>17</v>
      </c>
      <c r="D18" s="8">
        <v>0</v>
      </c>
      <c r="G18" s="94"/>
      <c r="H18" s="16"/>
      <c r="K18" s="82"/>
      <c r="L18" s="28" t="s">
        <v>15</v>
      </c>
      <c r="M18" s="29">
        <f>R21</f>
        <v>62</v>
      </c>
      <c r="N18" s="29">
        <v>4</v>
      </c>
      <c r="O18" s="29">
        <f>M18*N18</f>
        <v>248</v>
      </c>
      <c r="P18" s="45"/>
      <c r="Q18" s="50" t="s">
        <v>13</v>
      </c>
      <c r="R18" s="28">
        <v>20</v>
      </c>
    </row>
    <row r="19" spans="2:18" x14ac:dyDescent="0.35">
      <c r="B19" s="69">
        <v>13</v>
      </c>
      <c r="C19" s="3" t="s">
        <v>17</v>
      </c>
      <c r="D19" s="8">
        <v>0</v>
      </c>
      <c r="G19" s="60"/>
      <c r="H19" s="16"/>
      <c r="L19" s="28" t="s">
        <v>11</v>
      </c>
      <c r="M19" s="29">
        <v>15</v>
      </c>
      <c r="N19" s="29">
        <v>0</v>
      </c>
      <c r="O19" s="29">
        <f>M19*N19</f>
        <v>0</v>
      </c>
      <c r="P19" s="45"/>
      <c r="Q19" s="50" t="s">
        <v>12</v>
      </c>
      <c r="R19" s="28">
        <v>6</v>
      </c>
    </row>
    <row r="20" spans="2:18" x14ac:dyDescent="0.35">
      <c r="B20" s="69">
        <v>14</v>
      </c>
      <c r="C20" s="3" t="s">
        <v>17</v>
      </c>
      <c r="D20" s="8">
        <v>0</v>
      </c>
      <c r="G20" s="60"/>
      <c r="H20" s="6" t="s">
        <v>2</v>
      </c>
      <c r="L20" s="28" t="s">
        <v>17</v>
      </c>
      <c r="M20" s="29">
        <v>0</v>
      </c>
      <c r="N20" s="34">
        <v>0</v>
      </c>
      <c r="O20" s="29">
        <v>0</v>
      </c>
      <c r="P20" s="15"/>
      <c r="Q20" s="50" t="s">
        <v>76</v>
      </c>
      <c r="R20" s="28">
        <v>18</v>
      </c>
    </row>
    <row r="21" spans="2:18" x14ac:dyDescent="0.35">
      <c r="C21" s="1" t="s">
        <v>0</v>
      </c>
      <c r="D21" s="2">
        <f>(D5)-SUM(D7:D20)</f>
        <v>352</v>
      </c>
      <c r="G21" s="60"/>
      <c r="H21" s="4">
        <f>(D20+D19+D18+D17+D16+D15+D14+D13+D12+D11+D10+D9+D8+H9)</f>
        <v>1148</v>
      </c>
      <c r="K21" s="15"/>
      <c r="L21" s="28"/>
      <c r="M21" s="28"/>
      <c r="N21" s="70" t="s">
        <v>6</v>
      </c>
      <c r="O21" s="83">
        <f>SUM(O18:O20)</f>
        <v>248</v>
      </c>
      <c r="P21" s="15"/>
      <c r="Q21" s="28"/>
      <c r="R21" s="51">
        <f>SUM(R17:R20)</f>
        <v>62</v>
      </c>
    </row>
    <row r="22" spans="2:18" x14ac:dyDescent="0.35">
      <c r="G22" s="60"/>
      <c r="H22" s="6" t="s">
        <v>3</v>
      </c>
      <c r="K22" s="15"/>
      <c r="P22" s="15"/>
      <c r="Q22"/>
    </row>
    <row r="23" spans="2:18" x14ac:dyDescent="0.35">
      <c r="B23" s="68"/>
      <c r="C23" s="35" t="s">
        <v>19</v>
      </c>
      <c r="D23" s="11" t="s">
        <v>20</v>
      </c>
      <c r="G23" s="94"/>
      <c r="H23" s="4">
        <f>(D4-H21)</f>
        <v>352</v>
      </c>
      <c r="I23" s="15"/>
      <c r="J23" s="15"/>
      <c r="K23" s="15"/>
      <c r="L23" s="61"/>
      <c r="M23" s="61"/>
      <c r="N23" s="31"/>
      <c r="O23" s="33"/>
      <c r="Q23"/>
    </row>
    <row r="24" spans="2:18" x14ac:dyDescent="0.35">
      <c r="B24" s="68">
        <v>1</v>
      </c>
      <c r="C24" s="4"/>
      <c r="D24" s="4">
        <f>(D21-C24)</f>
        <v>352</v>
      </c>
      <c r="H24" s="31"/>
      <c r="I24" s="61"/>
      <c r="J24" s="60"/>
      <c r="K24" s="84"/>
      <c r="L24" s="85"/>
      <c r="M24" s="33"/>
      <c r="N24" s="33"/>
      <c r="O24" s="33"/>
      <c r="Q24"/>
    </row>
    <row r="25" spans="2:18" x14ac:dyDescent="0.35">
      <c r="B25" s="68">
        <v>2</v>
      </c>
      <c r="C25" s="4"/>
      <c r="D25" s="4">
        <f>(D24-C25)</f>
        <v>352</v>
      </c>
      <c r="H25" s="31"/>
      <c r="I25" s="31"/>
      <c r="J25" s="60"/>
      <c r="K25" s="86"/>
      <c r="L25" s="16"/>
      <c r="M25" s="15"/>
      <c r="N25" s="31"/>
      <c r="O25" s="67"/>
      <c r="Q25"/>
    </row>
    <row r="26" spans="2:18" x14ac:dyDescent="0.35">
      <c r="B26" s="68">
        <v>3</v>
      </c>
      <c r="C26" s="43"/>
      <c r="D26" s="4">
        <f>(D25-C26)</f>
        <v>352</v>
      </c>
      <c r="H26" s="148"/>
      <c r="I26" s="148"/>
      <c r="J26" s="60"/>
      <c r="K26" s="86"/>
      <c r="L26" s="16"/>
      <c r="M26" s="15"/>
      <c r="N26" s="31"/>
      <c r="O26" s="67"/>
      <c r="Q26"/>
    </row>
    <row r="27" spans="2:18" x14ac:dyDescent="0.35">
      <c r="B27" s="68">
        <v>4</v>
      </c>
      <c r="C27" s="4"/>
      <c r="D27" s="4">
        <f t="shared" ref="D27:D46" si="0">(D26-C27)</f>
        <v>352</v>
      </c>
      <c r="H27" s="33"/>
      <c r="I27" s="89"/>
      <c r="J27" s="60"/>
      <c r="K27" s="86"/>
      <c r="L27" s="16"/>
      <c r="M27" s="15"/>
      <c r="N27" s="31"/>
      <c r="O27" s="67"/>
      <c r="Q27"/>
    </row>
    <row r="28" spans="2:18" x14ac:dyDescent="0.35">
      <c r="B28" s="68">
        <v>5</v>
      </c>
      <c r="C28" s="43"/>
      <c r="D28" s="4">
        <f t="shared" si="0"/>
        <v>352</v>
      </c>
      <c r="H28" s="33"/>
      <c r="I28" s="33"/>
      <c r="J28" s="60"/>
      <c r="K28" s="86"/>
      <c r="L28" s="16"/>
      <c r="M28" s="24"/>
      <c r="N28" s="24"/>
      <c r="O28" s="33"/>
      <c r="Q28"/>
    </row>
    <row r="29" spans="2:18" x14ac:dyDescent="0.35">
      <c r="B29" s="68">
        <v>6</v>
      </c>
      <c r="C29" s="4"/>
      <c r="D29" s="4">
        <f t="shared" si="0"/>
        <v>352</v>
      </c>
      <c r="H29" s="13"/>
      <c r="I29" s="13"/>
      <c r="J29" s="60"/>
      <c r="K29" s="86"/>
      <c r="L29" s="16"/>
      <c r="Q29"/>
    </row>
    <row r="30" spans="2:18" x14ac:dyDescent="0.35">
      <c r="B30" s="68">
        <v>7</v>
      </c>
      <c r="C30" s="43"/>
      <c r="D30" s="4">
        <f t="shared" si="0"/>
        <v>352</v>
      </c>
      <c r="H30" s="13"/>
      <c r="I30" s="13"/>
      <c r="J30" s="60"/>
      <c r="K30" s="87"/>
      <c r="L30" s="17"/>
      <c r="Q30"/>
    </row>
    <row r="31" spans="2:18" x14ac:dyDescent="0.35">
      <c r="B31" s="68">
        <v>8</v>
      </c>
      <c r="C31" s="4"/>
      <c r="D31" s="4">
        <f t="shared" si="0"/>
        <v>352</v>
      </c>
      <c r="H31" s="13"/>
      <c r="I31" s="13"/>
      <c r="J31" s="14"/>
      <c r="K31" s="14"/>
      <c r="L31" s="13"/>
      <c r="Q31"/>
    </row>
    <row r="32" spans="2:18" x14ac:dyDescent="0.35">
      <c r="B32" s="68">
        <v>9</v>
      </c>
      <c r="C32" s="43"/>
      <c r="D32" s="4">
        <f t="shared" si="0"/>
        <v>352</v>
      </c>
      <c r="H32" s="13"/>
      <c r="I32" s="13"/>
      <c r="Q32"/>
    </row>
    <row r="33" spans="2:18" x14ac:dyDescent="0.35">
      <c r="B33" s="68">
        <v>10</v>
      </c>
      <c r="C33" s="4"/>
      <c r="D33" s="4">
        <f t="shared" si="0"/>
        <v>352</v>
      </c>
      <c r="H33" s="13"/>
      <c r="I33" s="13"/>
      <c r="Q33"/>
    </row>
    <row r="34" spans="2:18" x14ac:dyDescent="0.35">
      <c r="B34" s="68">
        <v>11</v>
      </c>
      <c r="C34" s="43"/>
      <c r="D34" s="4">
        <f t="shared" si="0"/>
        <v>352</v>
      </c>
      <c r="H34" s="13"/>
      <c r="I34" s="13"/>
      <c r="J34" s="47"/>
      <c r="Q34"/>
    </row>
    <row r="35" spans="2:18" x14ac:dyDescent="0.35">
      <c r="B35" s="68">
        <v>12</v>
      </c>
      <c r="C35" s="4"/>
      <c r="D35" s="4">
        <f t="shared" si="0"/>
        <v>352</v>
      </c>
      <c r="H35" s="13"/>
      <c r="I35" s="13"/>
      <c r="Q35"/>
    </row>
    <row r="36" spans="2:18" x14ac:dyDescent="0.35">
      <c r="B36" s="68">
        <v>13</v>
      </c>
      <c r="C36" s="43"/>
      <c r="D36" s="4">
        <f t="shared" si="0"/>
        <v>352</v>
      </c>
      <c r="H36" s="13"/>
      <c r="I36" s="13"/>
      <c r="Q36"/>
    </row>
    <row r="37" spans="2:18" x14ac:dyDescent="0.35">
      <c r="B37" s="68">
        <v>14</v>
      </c>
      <c r="C37" s="4"/>
      <c r="D37" s="4">
        <f t="shared" si="0"/>
        <v>352</v>
      </c>
      <c r="H37" s="13"/>
      <c r="I37" s="13"/>
      <c r="Q37"/>
    </row>
    <row r="38" spans="2:18" x14ac:dyDescent="0.35">
      <c r="B38" s="68">
        <v>15</v>
      </c>
      <c r="C38" s="43"/>
      <c r="D38" s="4">
        <f t="shared" si="0"/>
        <v>352</v>
      </c>
      <c r="H38" s="13"/>
      <c r="I38" s="13"/>
      <c r="Q38"/>
    </row>
    <row r="39" spans="2:18" x14ac:dyDescent="0.35">
      <c r="B39" s="68">
        <v>16</v>
      </c>
      <c r="C39" s="4"/>
      <c r="D39" s="4">
        <f t="shared" si="0"/>
        <v>352</v>
      </c>
      <c r="H39" s="13"/>
      <c r="I39" s="13"/>
    </row>
    <row r="40" spans="2:18" x14ac:dyDescent="0.35">
      <c r="B40" s="68">
        <v>17</v>
      </c>
      <c r="C40" s="43"/>
      <c r="D40" s="4">
        <f t="shared" si="0"/>
        <v>352</v>
      </c>
      <c r="H40" s="13"/>
      <c r="I40" s="13"/>
      <c r="P40" s="13"/>
    </row>
    <row r="41" spans="2:18" x14ac:dyDescent="0.35">
      <c r="B41" s="68">
        <v>18</v>
      </c>
      <c r="C41" s="4"/>
      <c r="D41" s="4">
        <f t="shared" si="0"/>
        <v>352</v>
      </c>
      <c r="H41" s="13"/>
      <c r="I41" s="13"/>
      <c r="P41" s="13"/>
    </row>
    <row r="42" spans="2:18" x14ac:dyDescent="0.35">
      <c r="B42" s="68">
        <v>19</v>
      </c>
      <c r="C42" s="43"/>
      <c r="D42" s="4">
        <f t="shared" si="0"/>
        <v>352</v>
      </c>
      <c r="H42" s="13"/>
      <c r="I42" s="13"/>
      <c r="L42" s="32"/>
      <c r="P42" s="13"/>
      <c r="R42" s="13"/>
    </row>
    <row r="43" spans="2:18" x14ac:dyDescent="0.35">
      <c r="B43" s="68">
        <v>20</v>
      </c>
      <c r="C43" s="4"/>
      <c r="D43" s="4">
        <f t="shared" si="0"/>
        <v>352</v>
      </c>
      <c r="H43" s="13"/>
      <c r="I43" s="13"/>
      <c r="L43" s="32"/>
      <c r="P43" s="13"/>
      <c r="R43" s="13"/>
    </row>
    <row r="44" spans="2:18" x14ac:dyDescent="0.35">
      <c r="B44" s="68">
        <v>21</v>
      </c>
      <c r="C44" s="43"/>
      <c r="D44" s="4">
        <f t="shared" si="0"/>
        <v>352</v>
      </c>
      <c r="H44" s="60"/>
      <c r="I44" s="13"/>
      <c r="K44" s="5"/>
      <c r="L44" s="19"/>
      <c r="M44" s="12"/>
      <c r="N44" s="19"/>
      <c r="O44" s="13"/>
      <c r="P44" s="13"/>
      <c r="Q44" s="12"/>
      <c r="R44" s="13"/>
    </row>
    <row r="45" spans="2:18" x14ac:dyDescent="0.35">
      <c r="B45" s="68">
        <v>22</v>
      </c>
      <c r="C45" s="4"/>
      <c r="D45" s="4">
        <f t="shared" si="0"/>
        <v>352</v>
      </c>
      <c r="H45" s="60"/>
      <c r="I45" s="13"/>
      <c r="K45" s="66"/>
      <c r="L45" s="64"/>
      <c r="M45" s="16"/>
      <c r="N45" s="19"/>
      <c r="O45" s="13"/>
      <c r="P45" s="13"/>
      <c r="Q45" s="33"/>
      <c r="R45" s="13"/>
    </row>
    <row r="46" spans="2:18" x14ac:dyDescent="0.35">
      <c r="B46" s="68">
        <v>23</v>
      </c>
      <c r="C46" s="43"/>
      <c r="D46" s="4">
        <f t="shared" si="0"/>
        <v>352</v>
      </c>
      <c r="H46" s="60"/>
      <c r="I46" s="13"/>
      <c r="L46" s="65"/>
      <c r="M46" s="25"/>
      <c r="N46" s="25"/>
      <c r="O46" s="13"/>
      <c r="P46" s="13"/>
      <c r="Q46" s="12"/>
      <c r="R46" s="13"/>
    </row>
    <row r="47" spans="2:18" x14ac:dyDescent="0.35">
      <c r="B47" s="68">
        <v>24</v>
      </c>
      <c r="C47" s="43"/>
      <c r="D47" s="4">
        <f>(D46-C47)</f>
        <v>352</v>
      </c>
      <c r="H47" s="60"/>
      <c r="I47" s="13"/>
      <c r="M47" s="12"/>
      <c r="N47" s="12"/>
      <c r="O47" s="13"/>
      <c r="P47" s="13"/>
      <c r="Q47" s="12"/>
      <c r="R47" s="13"/>
    </row>
    <row r="48" spans="2:18" x14ac:dyDescent="0.35">
      <c r="H48" s="60"/>
      <c r="I48" s="13"/>
      <c r="L48" s="65"/>
      <c r="M48" s="12"/>
      <c r="N48" s="19"/>
      <c r="O48" s="13"/>
      <c r="P48" s="13"/>
      <c r="Q48" s="12"/>
      <c r="R48" s="13"/>
    </row>
    <row r="49" spans="3:18" x14ac:dyDescent="0.35">
      <c r="H49" s="60"/>
      <c r="I49" s="90"/>
      <c r="L49" s="65"/>
      <c r="M49" s="13"/>
      <c r="N49" s="13"/>
      <c r="O49" s="13"/>
      <c r="P49" s="13"/>
      <c r="Q49" s="12"/>
      <c r="R49" s="13"/>
    </row>
    <row r="50" spans="3:18" x14ac:dyDescent="0.35">
      <c r="H50" s="60"/>
      <c r="I50" s="91"/>
      <c r="L50" s="65"/>
      <c r="M50" s="13"/>
      <c r="N50" s="13"/>
      <c r="O50" s="13"/>
      <c r="P50" s="13"/>
      <c r="Q50" s="12"/>
      <c r="R50" s="13"/>
    </row>
    <row r="51" spans="3:18" x14ac:dyDescent="0.35">
      <c r="H51" s="60"/>
      <c r="I51" s="13"/>
      <c r="L51" s="65"/>
      <c r="M51" s="26"/>
      <c r="N51" s="26"/>
      <c r="O51" s="13"/>
      <c r="P51" s="13"/>
      <c r="Q51" s="12"/>
      <c r="R51" s="13"/>
    </row>
    <row r="52" spans="3:18" x14ac:dyDescent="0.35">
      <c r="H52" s="91"/>
      <c r="I52" s="92"/>
      <c r="L52" s="64"/>
      <c r="M52" s="22"/>
      <c r="N52" s="22"/>
      <c r="O52" s="13"/>
      <c r="P52" s="13"/>
      <c r="Q52" s="12"/>
      <c r="R52" s="13"/>
    </row>
    <row r="53" spans="3:18" x14ac:dyDescent="0.35">
      <c r="H53" s="20"/>
      <c r="I53" s="93"/>
      <c r="L53" s="23"/>
      <c r="M53" s="24"/>
      <c r="N53" s="24"/>
      <c r="O53" s="13"/>
      <c r="P53" s="13"/>
      <c r="Q53" s="12"/>
      <c r="R53" s="13"/>
    </row>
    <row r="54" spans="3:18" x14ac:dyDescent="0.35">
      <c r="C54" s="53"/>
      <c r="D54" s="54"/>
      <c r="H54" s="16"/>
      <c r="I54" s="13"/>
      <c r="L54" s="13"/>
      <c r="M54" s="13"/>
      <c r="N54" s="13"/>
      <c r="O54" s="13"/>
      <c r="P54" s="13"/>
      <c r="Q54" s="12"/>
      <c r="R54" s="13"/>
    </row>
    <row r="55" spans="3:18" x14ac:dyDescent="0.35">
      <c r="C55" s="55"/>
      <c r="D55" s="56"/>
      <c r="H55" s="16"/>
      <c r="I55" s="13"/>
      <c r="L55" s="19"/>
      <c r="M55" s="13"/>
      <c r="N55" s="13"/>
      <c r="O55" s="13"/>
      <c r="P55" s="13"/>
      <c r="Q55" s="12"/>
      <c r="R55" s="13"/>
    </row>
    <row r="56" spans="3:18" x14ac:dyDescent="0.35">
      <c r="C56" s="57"/>
      <c r="D56" s="56"/>
      <c r="L56" s="18"/>
      <c r="M56" s="13"/>
      <c r="N56" s="13"/>
      <c r="O56" s="13"/>
      <c r="P56" s="13"/>
      <c r="Q56" s="12"/>
      <c r="R56" s="13"/>
    </row>
    <row r="57" spans="3:18" ht="15.5" x14ac:dyDescent="0.35">
      <c r="C57" s="57"/>
      <c r="D57" s="58"/>
      <c r="L57" s="18"/>
      <c r="M57" s="13"/>
      <c r="N57" s="13"/>
      <c r="O57" s="13"/>
      <c r="P57" s="13"/>
      <c r="Q57" s="12"/>
      <c r="R57" s="13"/>
    </row>
    <row r="58" spans="3:18" x14ac:dyDescent="0.35">
      <c r="L58" s="18"/>
      <c r="M58" s="13"/>
      <c r="N58" s="13"/>
      <c r="O58" s="13"/>
      <c r="P58" s="13"/>
      <c r="Q58" s="12"/>
      <c r="R58" s="13"/>
    </row>
    <row r="59" spans="3:18" x14ac:dyDescent="0.35">
      <c r="L59" s="18"/>
      <c r="M59" s="13"/>
      <c r="N59" s="13"/>
      <c r="O59" s="13"/>
      <c r="P59" s="13"/>
      <c r="Q59" s="12"/>
      <c r="R59" s="13"/>
    </row>
    <row r="60" spans="3:18" x14ac:dyDescent="0.35">
      <c r="L60" s="18"/>
      <c r="M60" s="13"/>
      <c r="N60" s="13"/>
      <c r="O60" s="13"/>
      <c r="P60" s="13"/>
      <c r="Q60" s="12"/>
      <c r="R60" s="13"/>
    </row>
    <row r="61" spans="3:18" x14ac:dyDescent="0.35">
      <c r="J61" s="16"/>
      <c r="K61" s="20"/>
      <c r="L61" s="21"/>
      <c r="M61" s="13"/>
      <c r="N61" s="13"/>
      <c r="O61" s="13"/>
      <c r="P61" s="13"/>
      <c r="Q61" s="12"/>
      <c r="R61" s="13"/>
    </row>
    <row r="62" spans="3:18" x14ac:dyDescent="0.35">
      <c r="J62" s="16"/>
      <c r="K62" s="20"/>
      <c r="L62" s="19"/>
      <c r="M62" s="13"/>
      <c r="N62" s="13"/>
      <c r="O62" s="13"/>
      <c r="P62" s="13"/>
      <c r="Q62" s="12"/>
      <c r="R62" s="13"/>
    </row>
    <row r="63" spans="3:18" x14ac:dyDescent="0.35">
      <c r="H63" s="16"/>
      <c r="I63" s="13"/>
      <c r="J63" s="16"/>
      <c r="K63" s="14"/>
      <c r="L63" s="13"/>
      <c r="M63" s="13"/>
      <c r="N63" s="13"/>
      <c r="O63" s="13"/>
      <c r="P63" s="13"/>
      <c r="Q63" s="12"/>
      <c r="R63" s="13"/>
    </row>
  </sheetData>
  <mergeCells count="2">
    <mergeCell ref="M7:O7"/>
    <mergeCell ref="H26:I2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6DEAD-1722-4843-9022-A5FCE398B7EF}">
  <sheetPr>
    <tabColor rgb="FF92D050"/>
  </sheetPr>
  <dimension ref="A1:Q23"/>
  <sheetViews>
    <sheetView zoomScale="80" zoomScaleNormal="80" workbookViewId="0">
      <selection activeCell="Q3" sqref="Q3"/>
    </sheetView>
  </sheetViews>
  <sheetFormatPr defaultRowHeight="14.5" x14ac:dyDescent="0.35"/>
  <cols>
    <col min="3" max="3" width="14.6328125" bestFit="1" customWidth="1"/>
    <col min="16" max="16" width="22.81640625" bestFit="1" customWidth="1"/>
    <col min="17" max="17" width="13.36328125" bestFit="1" customWidth="1"/>
  </cols>
  <sheetData>
    <row r="1" spans="1:17" x14ac:dyDescent="0.35">
      <c r="A1" s="66" t="s">
        <v>43</v>
      </c>
      <c r="B1" t="s">
        <v>44</v>
      </c>
    </row>
    <row r="2" spans="1:17" x14ac:dyDescent="0.35">
      <c r="B2" t="s">
        <v>45</v>
      </c>
      <c r="P2" s="77" t="s">
        <v>50</v>
      </c>
      <c r="Q2" s="5" t="s">
        <v>61</v>
      </c>
    </row>
    <row r="3" spans="1:17" x14ac:dyDescent="0.35">
      <c r="B3" s="70" t="s">
        <v>29</v>
      </c>
      <c r="C3" s="71">
        <f>Q5</f>
        <v>4800</v>
      </c>
      <c r="P3" s="3" t="s">
        <v>51</v>
      </c>
      <c r="Q3" s="71">
        <v>400</v>
      </c>
    </row>
    <row r="4" spans="1:17" x14ac:dyDescent="0.35">
      <c r="B4" s="70" t="s">
        <v>30</v>
      </c>
      <c r="C4" s="72">
        <v>0.06</v>
      </c>
      <c r="P4" s="3" t="s">
        <v>52</v>
      </c>
      <c r="Q4" s="76">
        <v>12</v>
      </c>
    </row>
    <row r="5" spans="1:17" x14ac:dyDescent="0.35">
      <c r="B5" s="70" t="s">
        <v>31</v>
      </c>
      <c r="C5" s="3">
        <v>5</v>
      </c>
      <c r="P5" s="3" t="s">
        <v>53</v>
      </c>
      <c r="Q5" s="71">
        <f>Q3*Q4</f>
        <v>4800</v>
      </c>
    </row>
    <row r="6" spans="1:17" x14ac:dyDescent="0.35">
      <c r="B6" s="73" t="s">
        <v>32</v>
      </c>
      <c r="C6" s="74">
        <f>C3*((((1+C4)^C5)-1)/C4)</f>
        <v>27058.04620800004</v>
      </c>
    </row>
    <row r="7" spans="1:17" x14ac:dyDescent="0.35">
      <c r="P7" s="10" t="s">
        <v>81</v>
      </c>
      <c r="Q7" s="97">
        <f>C10*4%</f>
        <v>1147.2611592192018</v>
      </c>
    </row>
    <row r="8" spans="1:17" x14ac:dyDescent="0.35">
      <c r="A8" s="66" t="s">
        <v>46</v>
      </c>
      <c r="B8" t="s">
        <v>47</v>
      </c>
      <c r="P8" s="139" t="s">
        <v>153</v>
      </c>
      <c r="Q8" s="113">
        <f>Q7/12</f>
        <v>95.605096601600152</v>
      </c>
    </row>
    <row r="9" spans="1:17" x14ac:dyDescent="0.35">
      <c r="B9" t="s">
        <v>48</v>
      </c>
      <c r="D9" t="s">
        <v>49</v>
      </c>
    </row>
    <row r="10" spans="1:17" x14ac:dyDescent="0.35">
      <c r="B10" s="73" t="s">
        <v>32</v>
      </c>
      <c r="C10" s="74">
        <f>C6*(1+C4)</f>
        <v>28681.528980480045</v>
      </c>
    </row>
    <row r="11" spans="1:17" x14ac:dyDescent="0.35">
      <c r="P11" t="s">
        <v>59</v>
      </c>
    </row>
    <row r="13" spans="1:17" x14ac:dyDescent="0.35">
      <c r="A13" s="66" t="s">
        <v>43</v>
      </c>
      <c r="B13" t="s">
        <v>44</v>
      </c>
      <c r="P13" s="78" t="s">
        <v>54</v>
      </c>
      <c r="Q13" s="5" t="s">
        <v>60</v>
      </c>
    </row>
    <row r="14" spans="1:17" x14ac:dyDescent="0.35">
      <c r="B14" t="s">
        <v>45</v>
      </c>
      <c r="P14" s="3" t="s">
        <v>55</v>
      </c>
      <c r="Q14" s="71">
        <f>JAN!D1*11%</f>
        <v>187</v>
      </c>
    </row>
    <row r="15" spans="1:17" x14ac:dyDescent="0.35">
      <c r="B15" s="70" t="s">
        <v>29</v>
      </c>
      <c r="C15" s="71">
        <f>Q17</f>
        <v>4692</v>
      </c>
      <c r="P15" s="3" t="s">
        <v>56</v>
      </c>
      <c r="Q15" s="71">
        <f>JAN!D1*12%</f>
        <v>204</v>
      </c>
    </row>
    <row r="16" spans="1:17" x14ac:dyDescent="0.35">
      <c r="B16" s="70" t="s">
        <v>30</v>
      </c>
      <c r="C16" s="72">
        <v>0.06</v>
      </c>
      <c r="P16" s="3" t="s">
        <v>52</v>
      </c>
      <c r="Q16" s="76">
        <v>12</v>
      </c>
    </row>
    <row r="17" spans="1:17" x14ac:dyDescent="0.35">
      <c r="B17" s="70" t="s">
        <v>58</v>
      </c>
      <c r="C17" s="72">
        <v>0.05</v>
      </c>
      <c r="P17" s="3" t="s">
        <v>53</v>
      </c>
      <c r="Q17" s="71">
        <f>(Q14+Q15)*12</f>
        <v>4692</v>
      </c>
    </row>
    <row r="18" spans="1:17" x14ac:dyDescent="0.35">
      <c r="B18" s="70" t="s">
        <v>31</v>
      </c>
      <c r="C18" s="3">
        <v>35</v>
      </c>
    </row>
    <row r="19" spans="1:17" x14ac:dyDescent="0.35">
      <c r="B19" s="50" t="s">
        <v>154</v>
      </c>
      <c r="C19" s="71">
        <v>0</v>
      </c>
      <c r="P19" s="10" t="s">
        <v>157</v>
      </c>
      <c r="Q19" s="97">
        <f>C20*4%</f>
        <v>40727.900499146839</v>
      </c>
    </row>
    <row r="20" spans="1:17" x14ac:dyDescent="0.35">
      <c r="B20" s="73" t="s">
        <v>32</v>
      </c>
      <c r="C20" s="75">
        <f xml:space="preserve"> (C15 * ( ( (1+C16)^C18 - (1+C17)^C18 ) / (C16-C17) ))+(C19*(1+C16)^C18)</f>
        <v>1018197.512478671</v>
      </c>
      <c r="P20" s="139" t="s">
        <v>153</v>
      </c>
      <c r="Q20" s="113">
        <f>Q19/12</f>
        <v>3393.9917082622364</v>
      </c>
    </row>
    <row r="21" spans="1:17" x14ac:dyDescent="0.35">
      <c r="A21" s="66" t="s">
        <v>46</v>
      </c>
      <c r="B21" t="s">
        <v>47</v>
      </c>
    </row>
    <row r="22" spans="1:17" x14ac:dyDescent="0.35">
      <c r="B22" t="s">
        <v>48</v>
      </c>
      <c r="D22" t="s">
        <v>49</v>
      </c>
    </row>
    <row r="23" spans="1:17" x14ac:dyDescent="0.35">
      <c r="B23" s="73" t="s">
        <v>32</v>
      </c>
      <c r="C23" s="75">
        <f>C20*(1+C16)</f>
        <v>1079289.3632273914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17D44-BD94-4277-9427-C107D9087C59}">
  <dimension ref="A2:P25"/>
  <sheetViews>
    <sheetView zoomScale="70" zoomScaleNormal="70" workbookViewId="0">
      <selection activeCell="C4" sqref="C4"/>
    </sheetView>
  </sheetViews>
  <sheetFormatPr defaultRowHeight="14.5" x14ac:dyDescent="0.35"/>
  <cols>
    <col min="3" max="3" width="14.1796875" bestFit="1" customWidth="1"/>
    <col min="16" max="16" width="14.1796875" bestFit="1" customWidth="1"/>
  </cols>
  <sheetData>
    <row r="2" spans="1:16" x14ac:dyDescent="0.35">
      <c r="A2" s="66" t="s">
        <v>22</v>
      </c>
      <c r="B2" t="s">
        <v>23</v>
      </c>
      <c r="N2" s="66" t="s">
        <v>24</v>
      </c>
      <c r="O2" t="s">
        <v>25</v>
      </c>
    </row>
    <row r="3" spans="1:16" x14ac:dyDescent="0.35">
      <c r="B3" t="s">
        <v>26</v>
      </c>
      <c r="O3" t="s">
        <v>27</v>
      </c>
    </row>
    <row r="4" spans="1:16" x14ac:dyDescent="0.35">
      <c r="B4" s="70" t="s">
        <v>28</v>
      </c>
      <c r="C4" s="71">
        <v>1000000</v>
      </c>
      <c r="O4" s="70" t="s">
        <v>29</v>
      </c>
      <c r="P4" s="71">
        <v>8000</v>
      </c>
    </row>
    <row r="5" spans="1:16" x14ac:dyDescent="0.35">
      <c r="B5" s="70" t="s">
        <v>30</v>
      </c>
      <c r="C5" s="72">
        <v>0.03</v>
      </c>
      <c r="O5" s="70" t="s">
        <v>30</v>
      </c>
      <c r="P5" s="72">
        <v>0.06</v>
      </c>
    </row>
    <row r="6" spans="1:16" x14ac:dyDescent="0.35">
      <c r="B6" s="70" t="s">
        <v>31</v>
      </c>
      <c r="C6" s="3">
        <v>-35</v>
      </c>
      <c r="O6" s="70" t="s">
        <v>31</v>
      </c>
      <c r="P6" s="3">
        <v>5</v>
      </c>
    </row>
    <row r="7" spans="1:16" x14ac:dyDescent="0.35">
      <c r="B7" s="73" t="s">
        <v>32</v>
      </c>
      <c r="C7" s="74">
        <f>C4*(1+C5)^C6</f>
        <v>355383.39780838735</v>
      </c>
      <c r="O7" s="73" t="s">
        <v>32</v>
      </c>
      <c r="P7" s="74">
        <f>P4*(1-(1/((1+P5)^P6)))/P5</f>
        <v>33698.910284525751</v>
      </c>
    </row>
    <row r="9" spans="1:16" x14ac:dyDescent="0.35">
      <c r="A9" s="66" t="s">
        <v>33</v>
      </c>
      <c r="B9" t="s">
        <v>34</v>
      </c>
      <c r="N9" s="66" t="s">
        <v>35</v>
      </c>
      <c r="O9" t="s">
        <v>36</v>
      </c>
    </row>
    <row r="10" spans="1:16" x14ac:dyDescent="0.35">
      <c r="B10" t="s">
        <v>37</v>
      </c>
      <c r="O10" t="s">
        <v>38</v>
      </c>
    </row>
    <row r="11" spans="1:16" x14ac:dyDescent="0.35">
      <c r="B11" s="70" t="s">
        <v>39</v>
      </c>
      <c r="C11" s="71">
        <v>20000</v>
      </c>
      <c r="O11" s="73" t="s">
        <v>32</v>
      </c>
      <c r="P11" s="74">
        <f>P7*(1+P5)</f>
        <v>35720.844901597295</v>
      </c>
    </row>
    <row r="12" spans="1:16" x14ac:dyDescent="0.35">
      <c r="B12" s="70" t="s">
        <v>30</v>
      </c>
      <c r="C12" s="72">
        <v>0.08</v>
      </c>
    </row>
    <row r="13" spans="1:16" x14ac:dyDescent="0.35">
      <c r="B13" s="70" t="s">
        <v>31</v>
      </c>
      <c r="C13" s="3">
        <v>5</v>
      </c>
    </row>
    <row r="14" spans="1:16" x14ac:dyDescent="0.35">
      <c r="B14" s="73" t="s">
        <v>32</v>
      </c>
      <c r="C14" s="74">
        <f>C11/((1+C12)^C13)</f>
        <v>13611.66394067506</v>
      </c>
      <c r="N14" s="66" t="s">
        <v>40</v>
      </c>
      <c r="O14" t="s">
        <v>41</v>
      </c>
    </row>
    <row r="15" spans="1:16" x14ac:dyDescent="0.35">
      <c r="O15" t="s">
        <v>42</v>
      </c>
    </row>
    <row r="16" spans="1:16" x14ac:dyDescent="0.35">
      <c r="A16" s="66" t="s">
        <v>43</v>
      </c>
      <c r="B16" t="s">
        <v>44</v>
      </c>
      <c r="O16" s="70" t="s">
        <v>29</v>
      </c>
      <c r="P16" s="71">
        <v>120000</v>
      </c>
    </row>
    <row r="17" spans="1:16" x14ac:dyDescent="0.35">
      <c r="B17" t="s">
        <v>45</v>
      </c>
      <c r="O17" s="70" t="s">
        <v>30</v>
      </c>
      <c r="P17" s="72">
        <v>0.12</v>
      </c>
    </row>
    <row r="18" spans="1:16" x14ac:dyDescent="0.35">
      <c r="B18" s="70" t="s">
        <v>29</v>
      </c>
      <c r="C18" s="71">
        <v>8000</v>
      </c>
      <c r="O18" s="73" t="s">
        <v>32</v>
      </c>
      <c r="P18" s="74">
        <f>P16/P17</f>
        <v>1000000</v>
      </c>
    </row>
    <row r="19" spans="1:16" x14ac:dyDescent="0.35">
      <c r="B19" s="70" t="s">
        <v>30</v>
      </c>
      <c r="C19" s="72">
        <v>0.06</v>
      </c>
    </row>
    <row r="20" spans="1:16" x14ac:dyDescent="0.35">
      <c r="B20" s="70" t="s">
        <v>31</v>
      </c>
      <c r="C20" s="3">
        <v>5</v>
      </c>
    </row>
    <row r="21" spans="1:16" x14ac:dyDescent="0.35">
      <c r="B21" s="73" t="s">
        <v>32</v>
      </c>
      <c r="C21" s="74">
        <f>C18*((((1+C19)^C20)-1)/C19)</f>
        <v>45096.743680000065</v>
      </c>
    </row>
    <row r="23" spans="1:16" x14ac:dyDescent="0.35">
      <c r="A23" s="66" t="s">
        <v>46</v>
      </c>
      <c r="B23" t="s">
        <v>47</v>
      </c>
    </row>
    <row r="24" spans="1:16" x14ac:dyDescent="0.35">
      <c r="B24" t="s">
        <v>48</v>
      </c>
      <c r="D24" t="s">
        <v>49</v>
      </c>
    </row>
    <row r="25" spans="1:16" x14ac:dyDescent="0.35">
      <c r="B25" s="73" t="s">
        <v>32</v>
      </c>
      <c r="C25" s="74">
        <f>C21*(1+C19)</f>
        <v>47802.548300800074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F55F-2AA4-41F8-A42A-48E2BA10C60B}">
  <dimension ref="A1:U62"/>
  <sheetViews>
    <sheetView zoomScale="70" zoomScaleNormal="70" workbookViewId="0">
      <selection activeCell="I2" sqref="I2"/>
    </sheetView>
  </sheetViews>
  <sheetFormatPr defaultRowHeight="14.5" x14ac:dyDescent="0.35"/>
  <cols>
    <col min="1" max="1" width="4.08984375" style="98" bestFit="1" customWidth="1"/>
    <col min="2" max="2" width="6.54296875" style="42" customWidth="1"/>
    <col min="3" max="3" width="13.54296875" style="42" customWidth="1"/>
    <col min="4" max="4" width="12.81640625" style="42" customWidth="1"/>
    <col min="5" max="5" width="16.54296875" style="42" customWidth="1"/>
    <col min="6" max="6" width="23.7265625" style="42" customWidth="1"/>
    <col min="7" max="7" width="6.1796875" customWidth="1"/>
    <col min="8" max="8" width="5.36328125" customWidth="1"/>
    <col min="9" max="9" width="15.54296875" style="9" customWidth="1"/>
    <col min="10" max="10" width="5" customWidth="1"/>
    <col min="11" max="11" width="11.08984375" style="9" customWidth="1"/>
    <col min="12" max="12" width="10.81640625" style="9" bestFit="1" customWidth="1"/>
    <col min="13" max="13" width="14.453125" style="9" customWidth="1"/>
    <col min="14" max="14" width="13.36328125" style="9" customWidth="1"/>
    <col min="15" max="15" width="10.81640625" customWidth="1"/>
    <col min="16" max="16" width="9.453125" bestFit="1" customWidth="1"/>
    <col min="17" max="17" width="12.90625" customWidth="1"/>
    <col min="18" max="18" width="13.81640625" bestFit="1" customWidth="1"/>
    <col min="19" max="19" width="7" customWidth="1"/>
    <col min="20" max="20" width="10.6328125" bestFit="1" customWidth="1"/>
    <col min="21" max="21" width="13.08984375" customWidth="1"/>
  </cols>
  <sheetData>
    <row r="1" spans="1:21" ht="15" thickBot="1" x14ac:dyDescent="0.4">
      <c r="K1" s="150" t="s">
        <v>82</v>
      </c>
      <c r="L1" s="150"/>
      <c r="M1" s="150"/>
      <c r="N1" s="150"/>
      <c r="O1" s="151" t="s">
        <v>83</v>
      </c>
      <c r="P1" s="151"/>
      <c r="Q1" s="151"/>
      <c r="R1" s="151"/>
      <c r="T1" s="152" t="s">
        <v>84</v>
      </c>
      <c r="U1" s="152"/>
    </row>
    <row r="2" spans="1:21" s="9" customFormat="1" ht="44" thickBot="1" x14ac:dyDescent="0.4">
      <c r="A2" s="98" t="s">
        <v>85</v>
      </c>
      <c r="B2" s="83" t="s">
        <v>86</v>
      </c>
      <c r="C2" s="99" t="s">
        <v>87</v>
      </c>
      <c r="D2" s="99" t="s">
        <v>88</v>
      </c>
      <c r="E2" s="99" t="s">
        <v>155</v>
      </c>
      <c r="F2" s="100" t="s">
        <v>156</v>
      </c>
      <c r="G2" s="101" t="s">
        <v>89</v>
      </c>
      <c r="I2" s="102" t="s">
        <v>90</v>
      </c>
      <c r="K2" s="103" t="s">
        <v>91</v>
      </c>
      <c r="L2" s="103" t="s">
        <v>92</v>
      </c>
      <c r="M2" s="103" t="s">
        <v>93</v>
      </c>
      <c r="N2" s="9" t="s">
        <v>94</v>
      </c>
      <c r="O2" s="103" t="s">
        <v>91</v>
      </c>
      <c r="P2" s="103" t="s">
        <v>92</v>
      </c>
      <c r="Q2" s="103" t="s">
        <v>93</v>
      </c>
      <c r="R2" s="9" t="s">
        <v>94</v>
      </c>
      <c r="T2" s="9" t="s">
        <v>95</v>
      </c>
      <c r="U2" s="104" t="s">
        <v>96</v>
      </c>
    </row>
    <row r="3" spans="1:21" x14ac:dyDescent="0.35">
      <c r="A3" s="98">
        <v>20</v>
      </c>
      <c r="B3" s="105">
        <v>2022</v>
      </c>
      <c r="C3" s="106">
        <v>0</v>
      </c>
      <c r="D3" s="106">
        <f>C3*$R$19</f>
        <v>0</v>
      </c>
      <c r="E3" s="106">
        <v>0</v>
      </c>
      <c r="F3" s="107">
        <f t="shared" ref="F3:F32" si="0">SUM(C3:E3)+I3</f>
        <v>0</v>
      </c>
      <c r="G3" s="108">
        <v>1</v>
      </c>
      <c r="I3" s="109"/>
      <c r="J3">
        <v>1</v>
      </c>
      <c r="K3" s="110">
        <v>405</v>
      </c>
      <c r="L3" s="110">
        <f>(K3*12)</f>
        <v>4860</v>
      </c>
      <c r="M3" s="110">
        <f>L3</f>
        <v>4860</v>
      </c>
      <c r="N3" s="114">
        <f>(F3-M3)</f>
        <v>-4860</v>
      </c>
      <c r="O3" s="110">
        <v>980</v>
      </c>
      <c r="P3" s="110">
        <f t="shared" ref="P3:P12" si="1">(O3*12)</f>
        <v>11760</v>
      </c>
      <c r="Q3" s="110">
        <f>P3</f>
        <v>11760</v>
      </c>
      <c r="R3" s="114">
        <f t="shared" ref="R3:R12" si="2">(F3-Q3)</f>
        <v>-11760</v>
      </c>
      <c r="U3" s="145">
        <f>M3</f>
        <v>4860</v>
      </c>
    </row>
    <row r="4" spans="1:21" x14ac:dyDescent="0.35">
      <c r="A4" s="98">
        <v>21</v>
      </c>
      <c r="B4" s="69">
        <v>2023</v>
      </c>
      <c r="C4" s="4">
        <f>F3</f>
        <v>0</v>
      </c>
      <c r="D4" s="106">
        <f>C4*$R$19</f>
        <v>0</v>
      </c>
      <c r="E4" s="4">
        <f>100000*$R$19</f>
        <v>6000</v>
      </c>
      <c r="F4" s="107">
        <f t="shared" si="0"/>
        <v>6000</v>
      </c>
      <c r="G4" s="111">
        <v>2</v>
      </c>
      <c r="I4" s="112"/>
      <c r="J4">
        <v>2</v>
      </c>
      <c r="K4" s="110">
        <v>405</v>
      </c>
      <c r="L4" s="110">
        <f>(K4*12)</f>
        <v>4860</v>
      </c>
      <c r="M4" s="110">
        <f>(L4+M3)</f>
        <v>9720</v>
      </c>
      <c r="N4" s="114">
        <f t="shared" ref="N4:N32" si="3">(F4-M4)</f>
        <v>-3720</v>
      </c>
      <c r="O4" s="110">
        <v>980</v>
      </c>
      <c r="P4" s="110">
        <f t="shared" si="1"/>
        <v>11760</v>
      </c>
      <c r="Q4" s="110">
        <f t="shared" ref="Q4:Q12" si="4">(P4+Q3)</f>
        <v>23520</v>
      </c>
      <c r="R4" s="114">
        <f t="shared" si="2"/>
        <v>-17520</v>
      </c>
      <c r="T4" s="113">
        <f>U3*$R$19</f>
        <v>291.59999999999997</v>
      </c>
      <c r="U4" s="146">
        <f>M3+T4</f>
        <v>5151.6000000000004</v>
      </c>
    </row>
    <row r="5" spans="1:21" x14ac:dyDescent="0.35">
      <c r="A5" s="98">
        <v>22</v>
      </c>
      <c r="B5" s="69">
        <v>2024</v>
      </c>
      <c r="C5" s="4">
        <f t="shared" ref="C5:C32" si="5">F4</f>
        <v>6000</v>
      </c>
      <c r="D5" s="106">
        <f t="shared" ref="D5:D37" si="6">C5*$R$19</f>
        <v>360</v>
      </c>
      <c r="E5" s="4">
        <f t="shared" ref="E5:E37" si="7">100000*$R$19</f>
        <v>6000</v>
      </c>
      <c r="F5" s="107">
        <f t="shared" si="0"/>
        <v>12360</v>
      </c>
      <c r="G5" s="111">
        <v>3</v>
      </c>
      <c r="I5" s="112"/>
      <c r="J5">
        <v>3</v>
      </c>
      <c r="K5" s="110">
        <v>405</v>
      </c>
      <c r="L5" s="110">
        <f>(K5*12)</f>
        <v>4860</v>
      </c>
      <c r="M5" s="110">
        <f>(L5+M4)</f>
        <v>14580</v>
      </c>
      <c r="N5" s="114">
        <f t="shared" si="3"/>
        <v>-2220</v>
      </c>
      <c r="O5" s="110">
        <v>980</v>
      </c>
      <c r="P5" s="110">
        <f t="shared" si="1"/>
        <v>11760</v>
      </c>
      <c r="Q5" s="110">
        <f t="shared" si="4"/>
        <v>35280</v>
      </c>
      <c r="R5" s="114">
        <f t="shared" si="2"/>
        <v>-22920</v>
      </c>
      <c r="T5" s="113">
        <f>(U4+$M$3)*$R$19</f>
        <v>600.69600000000003</v>
      </c>
      <c r="U5" s="146">
        <f>M4+T5</f>
        <v>10320.696</v>
      </c>
    </row>
    <row r="6" spans="1:21" x14ac:dyDescent="0.35">
      <c r="A6" s="98">
        <v>23</v>
      </c>
      <c r="B6" s="69">
        <v>2025</v>
      </c>
      <c r="C6" s="4">
        <f t="shared" si="5"/>
        <v>12360</v>
      </c>
      <c r="D6" s="106">
        <f t="shared" si="6"/>
        <v>741.6</v>
      </c>
      <c r="E6" s="4">
        <f t="shared" si="7"/>
        <v>6000</v>
      </c>
      <c r="F6" s="107">
        <f t="shared" si="0"/>
        <v>19101.599999999999</v>
      </c>
      <c r="G6" s="111">
        <v>4</v>
      </c>
      <c r="I6" s="112"/>
      <c r="J6">
        <v>4</v>
      </c>
      <c r="K6" s="110">
        <v>419</v>
      </c>
      <c r="L6" s="110">
        <f>(K6*12)</f>
        <v>5028</v>
      </c>
      <c r="M6" s="110">
        <f t="shared" ref="M6:M32" si="8">(L6+M5)</f>
        <v>19608</v>
      </c>
      <c r="N6" s="114">
        <f t="shared" si="3"/>
        <v>-506.40000000000146</v>
      </c>
      <c r="O6" s="110">
        <v>988</v>
      </c>
      <c r="P6" s="110">
        <f t="shared" si="1"/>
        <v>11856</v>
      </c>
      <c r="Q6" s="110">
        <f t="shared" si="4"/>
        <v>47136</v>
      </c>
      <c r="R6" s="114">
        <f t="shared" si="2"/>
        <v>-28034.400000000001</v>
      </c>
      <c r="T6" s="113">
        <f>(U5+$M$3)*$R$19</f>
        <v>910.84175999999991</v>
      </c>
      <c r="U6" s="146">
        <f>M5+T6</f>
        <v>15490.841759999999</v>
      </c>
    </row>
    <row r="7" spans="1:21" x14ac:dyDescent="0.35">
      <c r="A7" s="98">
        <v>24</v>
      </c>
      <c r="B7" s="69">
        <v>2026</v>
      </c>
      <c r="C7" s="4">
        <f t="shared" si="5"/>
        <v>19101.599999999999</v>
      </c>
      <c r="D7" s="106">
        <f t="shared" si="6"/>
        <v>1146.0959999999998</v>
      </c>
      <c r="E7" s="4">
        <f t="shared" si="7"/>
        <v>6000</v>
      </c>
      <c r="F7" s="107">
        <f t="shared" si="0"/>
        <v>26247.696</v>
      </c>
      <c r="G7" s="111">
        <v>5</v>
      </c>
      <c r="I7" s="112"/>
      <c r="J7">
        <v>5</v>
      </c>
      <c r="K7" s="110">
        <v>419</v>
      </c>
      <c r="L7" s="110">
        <f t="shared" ref="L7:L32" si="9">(K7*12)</f>
        <v>5028</v>
      </c>
      <c r="M7" s="110">
        <f t="shared" si="8"/>
        <v>24636</v>
      </c>
      <c r="N7" s="114">
        <f t="shared" si="3"/>
        <v>1611.6959999999999</v>
      </c>
      <c r="O7" s="110">
        <v>988</v>
      </c>
      <c r="P7" s="110">
        <f t="shared" si="1"/>
        <v>11856</v>
      </c>
      <c r="Q7" s="110">
        <f t="shared" si="4"/>
        <v>58992</v>
      </c>
      <c r="R7" s="114">
        <f t="shared" si="2"/>
        <v>-32744.304</v>
      </c>
      <c r="T7" s="113">
        <f t="shared" ref="T7:T37" si="10">(U6+$M$3)*$R$19</f>
        <v>1221.0505056</v>
      </c>
      <c r="U7" s="146">
        <f t="shared" ref="U7:U37" si="11">M6+T7</f>
        <v>20829.0505056</v>
      </c>
    </row>
    <row r="8" spans="1:21" x14ac:dyDescent="0.35">
      <c r="A8" s="98">
        <v>25</v>
      </c>
      <c r="B8" s="69">
        <v>2027</v>
      </c>
      <c r="C8" s="4">
        <f t="shared" si="5"/>
        <v>26247.696</v>
      </c>
      <c r="D8" s="106">
        <f t="shared" si="6"/>
        <v>1574.86176</v>
      </c>
      <c r="E8" s="4">
        <f t="shared" si="7"/>
        <v>6000</v>
      </c>
      <c r="F8" s="107">
        <f t="shared" si="0"/>
        <v>33822.557759999996</v>
      </c>
      <c r="G8" s="111">
        <v>6</v>
      </c>
      <c r="I8" s="112"/>
      <c r="J8">
        <v>6</v>
      </c>
      <c r="K8" s="110">
        <v>419</v>
      </c>
      <c r="L8" s="110">
        <f t="shared" si="9"/>
        <v>5028</v>
      </c>
      <c r="M8" s="110">
        <f t="shared" si="8"/>
        <v>29664</v>
      </c>
      <c r="N8" s="114">
        <f t="shared" si="3"/>
        <v>4158.5577599999961</v>
      </c>
      <c r="O8" s="110">
        <v>988</v>
      </c>
      <c r="P8" s="110">
        <f t="shared" si="1"/>
        <v>11856</v>
      </c>
      <c r="Q8" s="110">
        <f t="shared" si="4"/>
        <v>70848</v>
      </c>
      <c r="R8" s="114">
        <f t="shared" si="2"/>
        <v>-37025.442240000004</v>
      </c>
      <c r="T8" s="113">
        <f t="shared" si="10"/>
        <v>1541.3430303359999</v>
      </c>
      <c r="U8" s="146">
        <f t="shared" si="11"/>
        <v>26177.343030336</v>
      </c>
    </row>
    <row r="9" spans="1:21" x14ac:dyDescent="0.35">
      <c r="A9" s="98">
        <v>26</v>
      </c>
      <c r="B9" s="69">
        <v>2028</v>
      </c>
      <c r="C9" s="4">
        <f t="shared" si="5"/>
        <v>33822.557759999996</v>
      </c>
      <c r="D9" s="106">
        <f t="shared" si="6"/>
        <v>2029.3534655999997</v>
      </c>
      <c r="E9" s="4">
        <f t="shared" si="7"/>
        <v>6000</v>
      </c>
      <c r="F9" s="107">
        <f t="shared" si="0"/>
        <v>41851.911225599993</v>
      </c>
      <c r="G9" s="111">
        <v>7</v>
      </c>
      <c r="I9" s="112"/>
      <c r="J9">
        <v>7</v>
      </c>
      <c r="K9" s="110">
        <v>419</v>
      </c>
      <c r="L9" s="110">
        <f t="shared" si="9"/>
        <v>5028</v>
      </c>
      <c r="M9" s="110">
        <f t="shared" si="8"/>
        <v>34692</v>
      </c>
      <c r="N9" s="114">
        <f t="shared" si="3"/>
        <v>7159.9112255999935</v>
      </c>
      <c r="O9" s="110">
        <v>988</v>
      </c>
      <c r="P9" s="110">
        <f t="shared" si="1"/>
        <v>11856</v>
      </c>
      <c r="Q9" s="110">
        <f t="shared" si="4"/>
        <v>82704</v>
      </c>
      <c r="R9" s="114">
        <f t="shared" si="2"/>
        <v>-40852.088774400007</v>
      </c>
      <c r="T9" s="113">
        <f t="shared" si="10"/>
        <v>1862.2405818201598</v>
      </c>
      <c r="U9" s="146">
        <f t="shared" si="11"/>
        <v>31526.240581820159</v>
      </c>
    </row>
    <row r="10" spans="1:21" x14ac:dyDescent="0.35">
      <c r="A10" s="98">
        <v>27</v>
      </c>
      <c r="B10" s="69">
        <v>2029</v>
      </c>
      <c r="C10" s="4">
        <f t="shared" si="5"/>
        <v>41851.911225599993</v>
      </c>
      <c r="D10" s="106">
        <f t="shared" si="6"/>
        <v>2511.1146735359994</v>
      </c>
      <c r="E10" s="4">
        <f t="shared" si="7"/>
        <v>6000</v>
      </c>
      <c r="F10" s="107">
        <f t="shared" si="0"/>
        <v>50363.025899135995</v>
      </c>
      <c r="G10" s="111">
        <v>8</v>
      </c>
      <c r="I10" s="112"/>
      <c r="J10">
        <v>8</v>
      </c>
      <c r="K10" s="110">
        <v>419</v>
      </c>
      <c r="L10" s="110">
        <f t="shared" si="9"/>
        <v>5028</v>
      </c>
      <c r="M10" s="110">
        <f t="shared" si="8"/>
        <v>39720</v>
      </c>
      <c r="N10" s="114">
        <f t="shared" si="3"/>
        <v>10643.025899135995</v>
      </c>
      <c r="O10" s="110">
        <v>988</v>
      </c>
      <c r="P10" s="110">
        <f t="shared" si="1"/>
        <v>11856</v>
      </c>
      <c r="Q10" s="110">
        <f t="shared" si="4"/>
        <v>94560</v>
      </c>
      <c r="R10" s="114">
        <f t="shared" si="2"/>
        <v>-44196.974100864005</v>
      </c>
      <c r="T10" s="113">
        <f t="shared" si="10"/>
        <v>2183.1744349092096</v>
      </c>
      <c r="U10" s="146">
        <f t="shared" si="11"/>
        <v>36875.174434909211</v>
      </c>
    </row>
    <row r="11" spans="1:21" x14ac:dyDescent="0.35">
      <c r="A11" s="98">
        <v>28</v>
      </c>
      <c r="B11" s="69">
        <v>2030</v>
      </c>
      <c r="C11" s="4">
        <f t="shared" si="5"/>
        <v>50363.025899135995</v>
      </c>
      <c r="D11" s="106">
        <f t="shared" si="6"/>
        <v>3021.7815539481594</v>
      </c>
      <c r="E11" s="4">
        <f t="shared" si="7"/>
        <v>6000</v>
      </c>
      <c r="F11" s="107">
        <f t="shared" si="0"/>
        <v>59384.807453084155</v>
      </c>
      <c r="G11" s="111">
        <v>9</v>
      </c>
      <c r="I11" s="115"/>
      <c r="J11">
        <v>9</v>
      </c>
      <c r="K11" s="110">
        <v>419</v>
      </c>
      <c r="L11" s="110">
        <f t="shared" si="9"/>
        <v>5028</v>
      </c>
      <c r="M11" s="110">
        <f t="shared" si="8"/>
        <v>44748</v>
      </c>
      <c r="N11" s="114">
        <f t="shared" si="3"/>
        <v>14636.807453084155</v>
      </c>
      <c r="O11" s="110">
        <v>988</v>
      </c>
      <c r="P11" s="110">
        <f t="shared" si="1"/>
        <v>11856</v>
      </c>
      <c r="Q11" s="110">
        <f t="shared" si="4"/>
        <v>106416</v>
      </c>
      <c r="R11" s="114">
        <f t="shared" si="2"/>
        <v>-47031.192546915845</v>
      </c>
      <c r="T11" s="113">
        <f t="shared" si="10"/>
        <v>2504.1104660945525</v>
      </c>
      <c r="U11" s="146">
        <f t="shared" si="11"/>
        <v>42224.110466094549</v>
      </c>
    </row>
    <row r="12" spans="1:21" x14ac:dyDescent="0.35">
      <c r="A12" s="98">
        <v>29</v>
      </c>
      <c r="B12" s="69">
        <v>2031</v>
      </c>
      <c r="C12" s="4">
        <f t="shared" si="5"/>
        <v>59384.807453084155</v>
      </c>
      <c r="D12" s="106">
        <f t="shared" si="6"/>
        <v>3563.0884471850491</v>
      </c>
      <c r="E12" s="4">
        <f t="shared" si="7"/>
        <v>6000</v>
      </c>
      <c r="F12" s="107">
        <f t="shared" si="0"/>
        <v>68947.895900269214</v>
      </c>
      <c r="G12" s="111">
        <v>10</v>
      </c>
      <c r="I12" s="112"/>
      <c r="J12">
        <v>10</v>
      </c>
      <c r="K12" s="110">
        <v>419</v>
      </c>
      <c r="L12" s="110">
        <f t="shared" si="9"/>
        <v>5028</v>
      </c>
      <c r="M12" s="110">
        <f t="shared" si="8"/>
        <v>49776</v>
      </c>
      <c r="N12" s="114">
        <f t="shared" si="3"/>
        <v>19171.895900269214</v>
      </c>
      <c r="O12" s="110">
        <v>988</v>
      </c>
      <c r="P12" s="110">
        <f t="shared" si="1"/>
        <v>11856</v>
      </c>
      <c r="Q12" s="110">
        <f t="shared" si="4"/>
        <v>118272</v>
      </c>
      <c r="R12" s="114">
        <f t="shared" si="2"/>
        <v>-49324.104099730786</v>
      </c>
      <c r="T12" s="113">
        <f t="shared" si="10"/>
        <v>2825.046627965673</v>
      </c>
      <c r="U12" s="146">
        <f t="shared" si="11"/>
        <v>47573.046627965676</v>
      </c>
    </row>
    <row r="13" spans="1:21" x14ac:dyDescent="0.35">
      <c r="A13" s="98">
        <v>30</v>
      </c>
      <c r="B13" s="69">
        <v>2032</v>
      </c>
      <c r="C13" s="4">
        <f t="shared" si="5"/>
        <v>68947.895900269214</v>
      </c>
      <c r="D13" s="106">
        <f t="shared" si="6"/>
        <v>4136.8737540161528</v>
      </c>
      <c r="E13" s="4">
        <f t="shared" si="7"/>
        <v>6000</v>
      </c>
      <c r="F13" s="107">
        <f t="shared" si="0"/>
        <v>79084.769654285366</v>
      </c>
      <c r="G13" s="111">
        <v>11</v>
      </c>
      <c r="I13" s="112"/>
      <c r="J13">
        <v>11</v>
      </c>
      <c r="K13" s="110">
        <v>419</v>
      </c>
      <c r="L13" s="110">
        <f t="shared" si="9"/>
        <v>5028</v>
      </c>
      <c r="M13" s="110">
        <f t="shared" si="8"/>
        <v>54804</v>
      </c>
      <c r="N13" s="114">
        <f t="shared" si="3"/>
        <v>24280.769654285366</v>
      </c>
      <c r="O13" s="153" t="s">
        <v>97</v>
      </c>
      <c r="P13" s="153"/>
      <c r="Q13" s="117">
        <f>(100000-Q12)</f>
        <v>-18272</v>
      </c>
      <c r="T13" s="113">
        <f t="shared" si="10"/>
        <v>3145.9827976779407</v>
      </c>
      <c r="U13" s="146">
        <f t="shared" si="11"/>
        <v>52921.982797677942</v>
      </c>
    </row>
    <row r="14" spans="1:21" ht="15.5" customHeight="1" x14ac:dyDescent="0.35">
      <c r="A14" s="98">
        <v>31</v>
      </c>
      <c r="B14" s="69">
        <v>2033</v>
      </c>
      <c r="C14" s="4">
        <f t="shared" si="5"/>
        <v>79084.769654285366</v>
      </c>
      <c r="D14" s="106">
        <f t="shared" si="6"/>
        <v>4745.0861792571222</v>
      </c>
      <c r="E14" s="4">
        <f t="shared" si="7"/>
        <v>6000</v>
      </c>
      <c r="F14" s="107">
        <f t="shared" si="0"/>
        <v>89829.85583354249</v>
      </c>
      <c r="G14" s="111">
        <v>12</v>
      </c>
      <c r="I14" s="112"/>
      <c r="J14">
        <v>12</v>
      </c>
      <c r="K14" s="110">
        <v>419</v>
      </c>
      <c r="L14" s="110">
        <f t="shared" si="9"/>
        <v>5028</v>
      </c>
      <c r="M14" s="110">
        <f t="shared" si="8"/>
        <v>59832</v>
      </c>
      <c r="N14" s="114">
        <f t="shared" si="3"/>
        <v>29997.85583354249</v>
      </c>
      <c r="O14" s="153" t="s">
        <v>98</v>
      </c>
      <c r="P14" s="153"/>
      <c r="Q14" s="142">
        <f>(Q12-100000-F12)</f>
        <v>-50675.895900269214</v>
      </c>
      <c r="T14" s="113">
        <f t="shared" si="10"/>
        <v>3466.9189678606763</v>
      </c>
      <c r="U14" s="146">
        <f t="shared" si="11"/>
        <v>58270.918967860678</v>
      </c>
    </row>
    <row r="15" spans="1:21" x14ac:dyDescent="0.35">
      <c r="A15" s="98">
        <v>32</v>
      </c>
      <c r="B15" s="69">
        <v>2034</v>
      </c>
      <c r="C15" s="4">
        <f t="shared" si="5"/>
        <v>89829.85583354249</v>
      </c>
      <c r="D15" s="106">
        <f t="shared" si="6"/>
        <v>5389.7913500125496</v>
      </c>
      <c r="E15" s="4">
        <f t="shared" si="7"/>
        <v>6000</v>
      </c>
      <c r="F15" s="107">
        <f t="shared" si="0"/>
        <v>101219.64718355503</v>
      </c>
      <c r="G15" s="111">
        <v>13</v>
      </c>
      <c r="I15" s="112"/>
      <c r="J15">
        <v>13</v>
      </c>
      <c r="K15" s="110">
        <v>419</v>
      </c>
      <c r="L15" s="110">
        <f t="shared" si="9"/>
        <v>5028</v>
      </c>
      <c r="M15" s="110">
        <f t="shared" si="8"/>
        <v>64860</v>
      </c>
      <c r="N15" s="114">
        <f t="shared" si="3"/>
        <v>36359.647183555033</v>
      </c>
      <c r="T15" s="113">
        <f t="shared" si="10"/>
        <v>3787.8551380716403</v>
      </c>
      <c r="U15" s="146">
        <f t="shared" si="11"/>
        <v>63619.855138071638</v>
      </c>
    </row>
    <row r="16" spans="1:21" x14ac:dyDescent="0.35">
      <c r="A16" s="98">
        <v>33</v>
      </c>
      <c r="B16" s="69">
        <v>2035</v>
      </c>
      <c r="C16" s="4">
        <f t="shared" si="5"/>
        <v>101219.64718355503</v>
      </c>
      <c r="D16" s="106">
        <f t="shared" si="6"/>
        <v>6073.1788310133015</v>
      </c>
      <c r="E16" s="4">
        <f t="shared" si="7"/>
        <v>6000</v>
      </c>
      <c r="F16" s="107">
        <f t="shared" si="0"/>
        <v>113292.82601456833</v>
      </c>
      <c r="G16" s="111">
        <v>14</v>
      </c>
      <c r="I16" s="112"/>
      <c r="J16">
        <v>14</v>
      </c>
      <c r="K16" s="110">
        <v>419</v>
      </c>
      <c r="L16" s="110">
        <f t="shared" si="9"/>
        <v>5028</v>
      </c>
      <c r="M16" s="110">
        <f t="shared" si="8"/>
        <v>69888</v>
      </c>
      <c r="N16" s="114">
        <f t="shared" si="3"/>
        <v>43404.826014568331</v>
      </c>
      <c r="T16" s="113">
        <f t="shared" si="10"/>
        <v>4108.7913082842979</v>
      </c>
      <c r="U16" s="146">
        <f t="shared" si="11"/>
        <v>68968.791308284301</v>
      </c>
    </row>
    <row r="17" spans="1:21" x14ac:dyDescent="0.35">
      <c r="A17" s="98">
        <v>34</v>
      </c>
      <c r="B17" s="69">
        <v>2036</v>
      </c>
      <c r="C17" s="4">
        <f t="shared" si="5"/>
        <v>113292.82601456833</v>
      </c>
      <c r="D17" s="106">
        <f t="shared" si="6"/>
        <v>6797.5695608740998</v>
      </c>
      <c r="E17" s="4">
        <f t="shared" si="7"/>
        <v>6000</v>
      </c>
      <c r="F17" s="107">
        <f t="shared" si="0"/>
        <v>126090.39557544242</v>
      </c>
      <c r="G17" s="111">
        <v>15</v>
      </c>
      <c r="I17" s="112"/>
      <c r="J17">
        <v>15</v>
      </c>
      <c r="K17" s="110">
        <v>419</v>
      </c>
      <c r="L17" s="110">
        <f t="shared" si="9"/>
        <v>5028</v>
      </c>
      <c r="M17" s="110">
        <f t="shared" si="8"/>
        <v>74916</v>
      </c>
      <c r="N17" s="114">
        <f t="shared" si="3"/>
        <v>51174.395575442424</v>
      </c>
      <c r="T17" s="113">
        <f t="shared" si="10"/>
        <v>4429.7274784970577</v>
      </c>
      <c r="U17" s="146">
        <f t="shared" si="11"/>
        <v>74317.72747849705</v>
      </c>
    </row>
    <row r="18" spans="1:21" ht="15" thickBot="1" x14ac:dyDescent="0.4">
      <c r="A18" s="98">
        <v>35</v>
      </c>
      <c r="B18" s="69">
        <v>2037</v>
      </c>
      <c r="C18" s="4">
        <f t="shared" si="5"/>
        <v>126090.39557544242</v>
      </c>
      <c r="D18" s="106">
        <f t="shared" si="6"/>
        <v>7565.4237345265456</v>
      </c>
      <c r="E18" s="4">
        <f t="shared" si="7"/>
        <v>6000</v>
      </c>
      <c r="F18" s="107">
        <f t="shared" si="0"/>
        <v>139655.81930996897</v>
      </c>
      <c r="G18" s="111">
        <v>16</v>
      </c>
      <c r="I18" s="112"/>
      <c r="J18">
        <v>16</v>
      </c>
      <c r="K18" s="110">
        <v>419</v>
      </c>
      <c r="L18" s="110">
        <f t="shared" si="9"/>
        <v>5028</v>
      </c>
      <c r="M18" s="110">
        <f t="shared" si="8"/>
        <v>79944</v>
      </c>
      <c r="N18" s="114">
        <f t="shared" si="3"/>
        <v>59711.819309968967</v>
      </c>
      <c r="T18" s="113">
        <f t="shared" si="10"/>
        <v>4750.6636487098231</v>
      </c>
      <c r="U18" s="146">
        <f t="shared" si="11"/>
        <v>79666.663648709829</v>
      </c>
    </row>
    <row r="19" spans="1:21" ht="15" thickBot="1" x14ac:dyDescent="0.4">
      <c r="A19" s="98">
        <v>36</v>
      </c>
      <c r="B19" s="69">
        <v>2038</v>
      </c>
      <c r="C19" s="4">
        <f t="shared" si="5"/>
        <v>139655.81930996897</v>
      </c>
      <c r="D19" s="106">
        <f t="shared" si="6"/>
        <v>8379.3491585981374</v>
      </c>
      <c r="E19" s="4">
        <f t="shared" si="7"/>
        <v>6000</v>
      </c>
      <c r="F19" s="107">
        <f t="shared" si="0"/>
        <v>154035.16846856711</v>
      </c>
      <c r="G19" s="111">
        <v>17</v>
      </c>
      <c r="I19" s="112"/>
      <c r="J19">
        <v>17</v>
      </c>
      <c r="K19" s="110">
        <v>419</v>
      </c>
      <c r="L19" s="110">
        <f t="shared" si="9"/>
        <v>5028</v>
      </c>
      <c r="M19" s="110">
        <f t="shared" si="8"/>
        <v>84972</v>
      </c>
      <c r="N19" s="114">
        <f t="shared" si="3"/>
        <v>69063.168468567106</v>
      </c>
      <c r="Q19" s="143" t="s">
        <v>95</v>
      </c>
      <c r="R19" s="144">
        <v>0.06</v>
      </c>
      <c r="T19" s="113">
        <f t="shared" si="10"/>
        <v>5071.5998189225893</v>
      </c>
      <c r="U19" s="146">
        <f t="shared" si="11"/>
        <v>85015.599818922594</v>
      </c>
    </row>
    <row r="20" spans="1:21" x14ac:dyDescent="0.35">
      <c r="A20" s="98">
        <v>37</v>
      </c>
      <c r="B20" s="69">
        <v>2039</v>
      </c>
      <c r="C20" s="4">
        <f t="shared" si="5"/>
        <v>154035.16846856711</v>
      </c>
      <c r="D20" s="106">
        <f t="shared" si="6"/>
        <v>9242.1101081140259</v>
      </c>
      <c r="E20" s="4">
        <f t="shared" si="7"/>
        <v>6000</v>
      </c>
      <c r="F20" s="107">
        <f t="shared" si="0"/>
        <v>169277.27857668113</v>
      </c>
      <c r="G20" s="111">
        <v>18</v>
      </c>
      <c r="I20" s="112"/>
      <c r="J20">
        <v>18</v>
      </c>
      <c r="K20" s="110">
        <v>419</v>
      </c>
      <c r="L20" s="110">
        <f t="shared" si="9"/>
        <v>5028</v>
      </c>
      <c r="M20" s="110">
        <f t="shared" si="8"/>
        <v>90000</v>
      </c>
      <c r="N20" s="114">
        <f t="shared" si="3"/>
        <v>79277.278576681128</v>
      </c>
      <c r="T20" s="113">
        <f t="shared" si="10"/>
        <v>5392.5359891353555</v>
      </c>
      <c r="U20" s="146">
        <f t="shared" si="11"/>
        <v>90364.535989135358</v>
      </c>
    </row>
    <row r="21" spans="1:21" x14ac:dyDescent="0.35">
      <c r="A21" s="98">
        <v>38</v>
      </c>
      <c r="B21" s="69">
        <v>2040</v>
      </c>
      <c r="C21" s="4">
        <f t="shared" si="5"/>
        <v>169277.27857668113</v>
      </c>
      <c r="D21" s="106">
        <f t="shared" si="6"/>
        <v>10156.636714600867</v>
      </c>
      <c r="E21" s="4">
        <f t="shared" si="7"/>
        <v>6000</v>
      </c>
      <c r="F21" s="107">
        <f t="shared" si="0"/>
        <v>185433.915291282</v>
      </c>
      <c r="G21" s="111">
        <v>19</v>
      </c>
      <c r="I21" s="112"/>
      <c r="J21">
        <v>19</v>
      </c>
      <c r="K21" s="110">
        <v>419</v>
      </c>
      <c r="L21" s="110">
        <f t="shared" si="9"/>
        <v>5028</v>
      </c>
      <c r="M21" s="110">
        <f t="shared" si="8"/>
        <v>95028</v>
      </c>
      <c r="N21" s="114">
        <f t="shared" si="3"/>
        <v>90405.915291281999</v>
      </c>
      <c r="Q21" s="3" t="s">
        <v>99</v>
      </c>
      <c r="R21" s="116">
        <v>9.73</v>
      </c>
      <c r="T21" s="113">
        <f t="shared" si="10"/>
        <v>5713.4721593481208</v>
      </c>
      <c r="U21" s="146">
        <f t="shared" si="11"/>
        <v>95713.472159348123</v>
      </c>
    </row>
    <row r="22" spans="1:21" x14ac:dyDescent="0.35">
      <c r="A22" s="98">
        <v>39</v>
      </c>
      <c r="B22" s="69">
        <v>2041</v>
      </c>
      <c r="C22" s="4">
        <f t="shared" si="5"/>
        <v>185433.915291282</v>
      </c>
      <c r="D22" s="106">
        <f t="shared" si="6"/>
        <v>11126.03491747692</v>
      </c>
      <c r="E22" s="4">
        <f t="shared" si="7"/>
        <v>6000</v>
      </c>
      <c r="F22" s="107">
        <f t="shared" si="0"/>
        <v>202559.95020875891</v>
      </c>
      <c r="G22" s="111">
        <v>20</v>
      </c>
      <c r="I22" s="112"/>
      <c r="J22">
        <v>20</v>
      </c>
      <c r="K22" s="110">
        <v>419</v>
      </c>
      <c r="L22" s="110">
        <f t="shared" si="9"/>
        <v>5028</v>
      </c>
      <c r="M22" s="110">
        <f t="shared" si="8"/>
        <v>100056</v>
      </c>
      <c r="N22" s="114">
        <f t="shared" si="3"/>
        <v>102503.95020875891</v>
      </c>
      <c r="Q22" s="3" t="s">
        <v>100</v>
      </c>
      <c r="R22" s="116">
        <v>7.49</v>
      </c>
      <c r="T22" s="113">
        <f t="shared" si="10"/>
        <v>6034.4083295608871</v>
      </c>
      <c r="U22" s="146">
        <f t="shared" si="11"/>
        <v>101062.40832956089</v>
      </c>
    </row>
    <row r="23" spans="1:21" x14ac:dyDescent="0.35">
      <c r="A23" s="98">
        <v>40</v>
      </c>
      <c r="B23" s="69">
        <v>2042</v>
      </c>
      <c r="C23" s="4">
        <f t="shared" si="5"/>
        <v>202559.95020875891</v>
      </c>
      <c r="D23" s="106">
        <f t="shared" si="6"/>
        <v>12153.597012525534</v>
      </c>
      <c r="E23" s="4">
        <f t="shared" si="7"/>
        <v>6000</v>
      </c>
      <c r="F23" s="107">
        <f t="shared" si="0"/>
        <v>220713.54722128445</v>
      </c>
      <c r="G23" s="111">
        <v>21</v>
      </c>
      <c r="I23" s="112"/>
      <c r="J23">
        <v>21</v>
      </c>
      <c r="K23" s="110">
        <v>419</v>
      </c>
      <c r="L23" s="110">
        <f t="shared" si="9"/>
        <v>5028</v>
      </c>
      <c r="M23" s="110">
        <f t="shared" si="8"/>
        <v>105084</v>
      </c>
      <c r="N23" s="114">
        <f t="shared" si="3"/>
        <v>115629.54722128445</v>
      </c>
      <c r="Q23" s="3" t="s">
        <v>101</v>
      </c>
      <c r="R23" s="116">
        <v>6.45</v>
      </c>
      <c r="T23" s="113">
        <f t="shared" si="10"/>
        <v>6355.3444997736533</v>
      </c>
      <c r="U23" s="146">
        <f t="shared" si="11"/>
        <v>106411.34449977365</v>
      </c>
    </row>
    <row r="24" spans="1:21" x14ac:dyDescent="0.35">
      <c r="A24" s="98">
        <v>41</v>
      </c>
      <c r="B24" s="69">
        <v>2043</v>
      </c>
      <c r="C24" s="4">
        <f t="shared" si="5"/>
        <v>220713.54722128445</v>
      </c>
      <c r="D24" s="106">
        <f t="shared" si="6"/>
        <v>13242.812833277067</v>
      </c>
      <c r="E24" s="4">
        <f t="shared" si="7"/>
        <v>6000</v>
      </c>
      <c r="F24" s="107">
        <f t="shared" si="0"/>
        <v>239956.36005456152</v>
      </c>
      <c r="G24" s="111">
        <v>22</v>
      </c>
      <c r="I24" s="112"/>
      <c r="J24">
        <v>22</v>
      </c>
      <c r="K24" s="110">
        <v>419</v>
      </c>
      <c r="L24" s="110">
        <f t="shared" si="9"/>
        <v>5028</v>
      </c>
      <c r="M24" s="110">
        <f t="shared" si="8"/>
        <v>110112</v>
      </c>
      <c r="N24" s="114">
        <f t="shared" si="3"/>
        <v>129844.36005456152</v>
      </c>
      <c r="Q24" s="3" t="s">
        <v>102</v>
      </c>
      <c r="R24" s="116">
        <v>5.58</v>
      </c>
      <c r="T24" s="113">
        <f t="shared" si="10"/>
        <v>6676.2806699864186</v>
      </c>
      <c r="U24" s="146">
        <f t="shared" si="11"/>
        <v>111760.28066998642</v>
      </c>
    </row>
    <row r="25" spans="1:21" x14ac:dyDescent="0.35">
      <c r="A25" s="98">
        <v>42</v>
      </c>
      <c r="B25" s="69">
        <v>2044</v>
      </c>
      <c r="C25" s="4">
        <f t="shared" si="5"/>
        <v>239956.36005456152</v>
      </c>
      <c r="D25" s="106">
        <f t="shared" si="6"/>
        <v>14397.38160327369</v>
      </c>
      <c r="E25" s="4">
        <f t="shared" si="7"/>
        <v>6000</v>
      </c>
      <c r="F25" s="107">
        <f t="shared" si="0"/>
        <v>260353.7416578352</v>
      </c>
      <c r="G25" s="111">
        <v>23</v>
      </c>
      <c r="I25" s="112"/>
      <c r="J25">
        <v>23</v>
      </c>
      <c r="K25" s="110">
        <v>419</v>
      </c>
      <c r="L25" s="110">
        <f t="shared" si="9"/>
        <v>5028</v>
      </c>
      <c r="M25" s="110">
        <f t="shared" si="8"/>
        <v>115140</v>
      </c>
      <c r="N25" s="114">
        <f t="shared" si="3"/>
        <v>145213.7416578352</v>
      </c>
      <c r="Q25" s="3" t="s">
        <v>103</v>
      </c>
      <c r="R25" s="116">
        <f>AVERAGE(R21:R24)</f>
        <v>7.3125</v>
      </c>
      <c r="T25" s="113">
        <f t="shared" si="10"/>
        <v>6997.2168401991848</v>
      </c>
      <c r="U25" s="146">
        <f t="shared" si="11"/>
        <v>117109.21684019918</v>
      </c>
    </row>
    <row r="26" spans="1:21" x14ac:dyDescent="0.35">
      <c r="A26" s="98">
        <v>43</v>
      </c>
      <c r="B26" s="69">
        <v>2045</v>
      </c>
      <c r="C26" s="4">
        <f t="shared" si="5"/>
        <v>260353.7416578352</v>
      </c>
      <c r="D26" s="106">
        <f t="shared" si="6"/>
        <v>15621.22449947011</v>
      </c>
      <c r="E26" s="4">
        <f t="shared" si="7"/>
        <v>6000</v>
      </c>
      <c r="F26" s="107">
        <f t="shared" si="0"/>
        <v>281974.96615730529</v>
      </c>
      <c r="G26" s="111">
        <v>24</v>
      </c>
      <c r="I26" s="112"/>
      <c r="J26">
        <v>24</v>
      </c>
      <c r="K26" s="110">
        <v>419</v>
      </c>
      <c r="L26" s="110">
        <f t="shared" si="9"/>
        <v>5028</v>
      </c>
      <c r="M26" s="110">
        <f t="shared" si="8"/>
        <v>120168</v>
      </c>
      <c r="N26" s="114">
        <f t="shared" si="3"/>
        <v>161806.96615730529</v>
      </c>
      <c r="T26" s="113">
        <f t="shared" si="10"/>
        <v>7318.1530104119502</v>
      </c>
      <c r="U26" s="146">
        <f t="shared" si="11"/>
        <v>122458.15301041194</v>
      </c>
    </row>
    <row r="27" spans="1:21" x14ac:dyDescent="0.35">
      <c r="A27" s="98">
        <v>44</v>
      </c>
      <c r="B27" s="69">
        <v>2046</v>
      </c>
      <c r="C27" s="4">
        <f t="shared" si="5"/>
        <v>281974.96615730529</v>
      </c>
      <c r="D27" s="106">
        <f t="shared" si="6"/>
        <v>16918.497969438318</v>
      </c>
      <c r="E27" s="4">
        <f t="shared" si="7"/>
        <v>6000</v>
      </c>
      <c r="F27" s="107">
        <f t="shared" si="0"/>
        <v>304893.46412674361</v>
      </c>
      <c r="G27" s="111">
        <v>25</v>
      </c>
      <c r="I27" s="112"/>
      <c r="J27">
        <v>25</v>
      </c>
      <c r="K27" s="110">
        <v>419</v>
      </c>
      <c r="L27" s="110">
        <f t="shared" si="9"/>
        <v>5028</v>
      </c>
      <c r="M27" s="110">
        <f t="shared" si="8"/>
        <v>125196</v>
      </c>
      <c r="N27" s="114">
        <f t="shared" si="3"/>
        <v>179697.46412674361</v>
      </c>
      <c r="T27" s="113">
        <f t="shared" si="10"/>
        <v>7639.0891806247164</v>
      </c>
      <c r="U27" s="146">
        <f>M26+T27</f>
        <v>127807.08918062472</v>
      </c>
    </row>
    <row r="28" spans="1:21" x14ac:dyDescent="0.35">
      <c r="A28" s="98">
        <v>45</v>
      </c>
      <c r="B28" s="69">
        <v>2047</v>
      </c>
      <c r="C28" s="4">
        <f t="shared" si="5"/>
        <v>304893.46412674361</v>
      </c>
      <c r="D28" s="106">
        <f t="shared" si="6"/>
        <v>18293.607847604617</v>
      </c>
      <c r="E28" s="4">
        <f t="shared" si="7"/>
        <v>6000</v>
      </c>
      <c r="F28" s="107">
        <f t="shared" si="0"/>
        <v>329187.07197434822</v>
      </c>
      <c r="G28" s="111">
        <v>26</v>
      </c>
      <c r="I28" s="112"/>
      <c r="J28">
        <v>26</v>
      </c>
      <c r="K28" s="110">
        <v>419</v>
      </c>
      <c r="L28" s="110">
        <f t="shared" si="9"/>
        <v>5028</v>
      </c>
      <c r="M28" s="110">
        <f t="shared" si="8"/>
        <v>130224</v>
      </c>
      <c r="N28" s="114">
        <f t="shared" si="3"/>
        <v>198963.07197434822</v>
      </c>
      <c r="T28" s="113">
        <f t="shared" si="10"/>
        <v>7960.0253508374835</v>
      </c>
      <c r="U28" s="146">
        <f t="shared" si="11"/>
        <v>133156.02535083747</v>
      </c>
    </row>
    <row r="29" spans="1:21" x14ac:dyDescent="0.35">
      <c r="A29" s="98">
        <v>46</v>
      </c>
      <c r="B29" s="69">
        <v>2048</v>
      </c>
      <c r="C29" s="4">
        <f t="shared" si="5"/>
        <v>329187.07197434822</v>
      </c>
      <c r="D29" s="106">
        <f t="shared" si="6"/>
        <v>19751.224318460892</v>
      </c>
      <c r="E29" s="4">
        <f t="shared" si="7"/>
        <v>6000</v>
      </c>
      <c r="F29" s="107">
        <f t="shared" si="0"/>
        <v>354938.29629280913</v>
      </c>
      <c r="G29" s="111">
        <v>27</v>
      </c>
      <c r="I29" s="112"/>
      <c r="J29">
        <v>27</v>
      </c>
      <c r="K29" s="110">
        <v>419</v>
      </c>
      <c r="L29" s="110">
        <f t="shared" si="9"/>
        <v>5028</v>
      </c>
      <c r="M29" s="110">
        <f t="shared" si="8"/>
        <v>135252</v>
      </c>
      <c r="N29" s="114">
        <f t="shared" si="3"/>
        <v>219686.29629280913</v>
      </c>
      <c r="T29" s="113">
        <f t="shared" si="10"/>
        <v>8280.9615210502488</v>
      </c>
      <c r="U29" s="146">
        <f t="shared" si="11"/>
        <v>138504.96152105025</v>
      </c>
    </row>
    <row r="30" spans="1:21" x14ac:dyDescent="0.35">
      <c r="A30" s="98">
        <v>47</v>
      </c>
      <c r="B30" s="69">
        <v>2049</v>
      </c>
      <c r="C30" s="4">
        <f t="shared" si="5"/>
        <v>354938.29629280913</v>
      </c>
      <c r="D30" s="106">
        <f t="shared" si="6"/>
        <v>21296.297777568547</v>
      </c>
      <c r="E30" s="4">
        <f t="shared" si="7"/>
        <v>6000</v>
      </c>
      <c r="F30" s="107">
        <f t="shared" si="0"/>
        <v>382234.5940703777</v>
      </c>
      <c r="G30" s="111">
        <v>28</v>
      </c>
      <c r="I30" s="112"/>
      <c r="J30">
        <v>28</v>
      </c>
      <c r="K30" s="110">
        <v>419</v>
      </c>
      <c r="L30" s="110">
        <f t="shared" si="9"/>
        <v>5028</v>
      </c>
      <c r="M30" s="110">
        <f t="shared" si="8"/>
        <v>140280</v>
      </c>
      <c r="N30" s="114">
        <f t="shared" si="3"/>
        <v>241954.5940703777</v>
      </c>
      <c r="T30" s="113">
        <f t="shared" si="10"/>
        <v>8601.8976912630151</v>
      </c>
      <c r="U30" s="146">
        <f t="shared" si="11"/>
        <v>143853.897691263</v>
      </c>
    </row>
    <row r="31" spans="1:21" x14ac:dyDescent="0.35">
      <c r="A31" s="98">
        <v>48</v>
      </c>
      <c r="B31" s="69">
        <v>2050</v>
      </c>
      <c r="C31" s="4">
        <f t="shared" si="5"/>
        <v>382234.5940703777</v>
      </c>
      <c r="D31" s="106">
        <f t="shared" si="6"/>
        <v>22934.075644222663</v>
      </c>
      <c r="E31" s="4">
        <f t="shared" si="7"/>
        <v>6000</v>
      </c>
      <c r="F31" s="107">
        <f t="shared" si="0"/>
        <v>411168.66971460037</v>
      </c>
      <c r="G31" s="111">
        <v>29</v>
      </c>
      <c r="I31" s="112"/>
      <c r="J31">
        <v>29</v>
      </c>
      <c r="K31" s="110">
        <v>419</v>
      </c>
      <c r="L31" s="110">
        <f t="shared" si="9"/>
        <v>5028</v>
      </c>
      <c r="M31" s="110">
        <f t="shared" si="8"/>
        <v>145308</v>
      </c>
      <c r="N31" s="114">
        <f t="shared" si="3"/>
        <v>265860.66971460037</v>
      </c>
      <c r="T31" s="113">
        <f t="shared" si="10"/>
        <v>8922.8338614757795</v>
      </c>
      <c r="U31" s="146">
        <f>M30+T31</f>
        <v>149202.83386147578</v>
      </c>
    </row>
    <row r="32" spans="1:21" x14ac:dyDescent="0.35">
      <c r="A32" s="98">
        <v>49</v>
      </c>
      <c r="B32" s="69">
        <v>2051</v>
      </c>
      <c r="C32" s="4">
        <f t="shared" si="5"/>
        <v>411168.66971460037</v>
      </c>
      <c r="D32" s="106">
        <f t="shared" si="6"/>
        <v>24670.12018287602</v>
      </c>
      <c r="E32" s="4">
        <f t="shared" si="7"/>
        <v>6000</v>
      </c>
      <c r="F32" s="107">
        <f t="shared" si="0"/>
        <v>441838.78989747638</v>
      </c>
      <c r="G32" s="111">
        <v>30</v>
      </c>
      <c r="I32" s="112"/>
      <c r="J32">
        <v>30</v>
      </c>
      <c r="K32" s="110">
        <v>419</v>
      </c>
      <c r="L32" s="110">
        <f t="shared" si="9"/>
        <v>5028</v>
      </c>
      <c r="M32" s="110">
        <f t="shared" si="8"/>
        <v>150336</v>
      </c>
      <c r="N32" s="114">
        <f t="shared" si="3"/>
        <v>291502.78989747638</v>
      </c>
      <c r="T32" s="113">
        <f t="shared" si="10"/>
        <v>9243.7700316885457</v>
      </c>
      <c r="U32" s="146">
        <f t="shared" si="11"/>
        <v>154551.77003168856</v>
      </c>
    </row>
    <row r="33" spans="1:21" x14ac:dyDescent="0.35">
      <c r="A33" s="98">
        <v>50</v>
      </c>
      <c r="B33" s="69">
        <v>2051</v>
      </c>
      <c r="C33" s="4">
        <f>F32</f>
        <v>441838.78989747638</v>
      </c>
      <c r="D33" s="106">
        <f t="shared" si="6"/>
        <v>26510.327393848584</v>
      </c>
      <c r="E33" s="4">
        <f t="shared" si="7"/>
        <v>6000</v>
      </c>
      <c r="F33" s="107">
        <f>SUM(C33:E33)+I33</f>
        <v>474349.11729132495</v>
      </c>
      <c r="G33" s="111">
        <v>31</v>
      </c>
      <c r="I33" s="112"/>
      <c r="J33">
        <v>31</v>
      </c>
      <c r="K33" s="110">
        <v>419</v>
      </c>
      <c r="L33" s="110">
        <f>(K33*12)</f>
        <v>5028</v>
      </c>
      <c r="M33" s="110">
        <f>(L33+M32)</f>
        <v>155364</v>
      </c>
      <c r="N33" s="114">
        <f>(F33-M33)</f>
        <v>318985.11729132495</v>
      </c>
      <c r="T33" s="113">
        <f t="shared" si="10"/>
        <v>9564.7062019013138</v>
      </c>
      <c r="U33" s="146">
        <f t="shared" si="11"/>
        <v>159900.70620190131</v>
      </c>
    </row>
    <row r="34" spans="1:21" x14ac:dyDescent="0.35">
      <c r="A34" s="98">
        <v>51</v>
      </c>
      <c r="B34" s="69">
        <v>2051</v>
      </c>
      <c r="C34" s="4">
        <f>F33</f>
        <v>474349.11729132495</v>
      </c>
      <c r="D34" s="106">
        <f t="shared" si="6"/>
        <v>28460.947037479495</v>
      </c>
      <c r="E34" s="4">
        <f t="shared" si="7"/>
        <v>6000</v>
      </c>
      <c r="F34" s="107">
        <f>SUM(C34:E34)+I34</f>
        <v>508810.06432880444</v>
      </c>
      <c r="G34" s="111">
        <v>32</v>
      </c>
      <c r="I34" s="112"/>
      <c r="J34">
        <v>32</v>
      </c>
      <c r="K34" s="110">
        <v>419</v>
      </c>
      <c r="L34" s="110">
        <f>(K34*12)</f>
        <v>5028</v>
      </c>
      <c r="M34" s="110">
        <f>(L34+M33)</f>
        <v>160392</v>
      </c>
      <c r="N34" s="114">
        <f>(F34-M34)</f>
        <v>348418.06432880444</v>
      </c>
      <c r="T34" s="113">
        <f t="shared" si="10"/>
        <v>9885.6423721140782</v>
      </c>
      <c r="U34" s="146">
        <f t="shared" si="11"/>
        <v>165249.64237211409</v>
      </c>
    </row>
    <row r="35" spans="1:21" x14ac:dyDescent="0.35">
      <c r="A35" s="98">
        <v>52</v>
      </c>
      <c r="B35" s="69">
        <v>2051</v>
      </c>
      <c r="C35" s="4">
        <f>F34</f>
        <v>508810.06432880444</v>
      </c>
      <c r="D35" s="106">
        <f t="shared" si="6"/>
        <v>30528.603859728264</v>
      </c>
      <c r="E35" s="4">
        <f t="shared" si="7"/>
        <v>6000</v>
      </c>
      <c r="F35" s="107">
        <f>SUM(C35:E35)+I35</f>
        <v>545338.6681885327</v>
      </c>
      <c r="G35" s="111">
        <v>33</v>
      </c>
      <c r="I35" s="112"/>
      <c r="J35">
        <v>33</v>
      </c>
      <c r="K35" s="110">
        <v>419</v>
      </c>
      <c r="L35" s="110">
        <f>(K35*12)</f>
        <v>5028</v>
      </c>
      <c r="M35" s="110">
        <f>(L35+M34)</f>
        <v>165420</v>
      </c>
      <c r="N35" s="114">
        <f>(F35-M35)</f>
        <v>379918.6681885327</v>
      </c>
      <c r="T35" s="113">
        <f t="shared" si="10"/>
        <v>10206.578542326844</v>
      </c>
      <c r="U35" s="146">
        <f t="shared" si="11"/>
        <v>170598.57854232684</v>
      </c>
    </row>
    <row r="36" spans="1:21" x14ac:dyDescent="0.35">
      <c r="A36" s="98">
        <v>53</v>
      </c>
      <c r="B36" s="69">
        <v>2051</v>
      </c>
      <c r="C36" s="4">
        <f>F35</f>
        <v>545338.6681885327</v>
      </c>
      <c r="D36" s="106">
        <f t="shared" si="6"/>
        <v>32720.320091311962</v>
      </c>
      <c r="E36" s="4">
        <f t="shared" si="7"/>
        <v>6000</v>
      </c>
      <c r="F36" s="107">
        <f>SUM(C36:E36)+I36</f>
        <v>584058.98827984463</v>
      </c>
      <c r="G36" s="111">
        <v>34</v>
      </c>
      <c r="I36" s="112"/>
      <c r="J36">
        <v>34</v>
      </c>
      <c r="K36" s="110">
        <v>419</v>
      </c>
      <c r="L36" s="110">
        <f>(K36*12)</f>
        <v>5028</v>
      </c>
      <c r="M36" s="110">
        <f>(L36+M35)</f>
        <v>170448</v>
      </c>
      <c r="N36" s="114">
        <f>(F36-M36)</f>
        <v>413610.98827984463</v>
      </c>
      <c r="T36" s="113">
        <f t="shared" si="10"/>
        <v>10527.514712539611</v>
      </c>
      <c r="U36" s="146">
        <f t="shared" si="11"/>
        <v>175947.51471253962</v>
      </c>
    </row>
    <row r="37" spans="1:21" x14ac:dyDescent="0.35">
      <c r="A37" s="98">
        <v>54</v>
      </c>
      <c r="B37" s="69">
        <v>2051</v>
      </c>
      <c r="C37" s="4">
        <f>F36</f>
        <v>584058.98827984463</v>
      </c>
      <c r="D37" s="106">
        <f t="shared" si="6"/>
        <v>35043.539296790674</v>
      </c>
      <c r="E37" s="4">
        <f t="shared" si="7"/>
        <v>6000</v>
      </c>
      <c r="F37" s="107">
        <f>SUM(C37:E37)+I37</f>
        <v>625102.52757663536</v>
      </c>
      <c r="G37" s="111">
        <v>35</v>
      </c>
      <c r="I37" s="112"/>
      <c r="J37">
        <v>35</v>
      </c>
      <c r="K37" s="110">
        <v>419</v>
      </c>
      <c r="L37" s="110">
        <f>(K37*12)</f>
        <v>5028</v>
      </c>
      <c r="M37" s="110">
        <f>(L37+M36)</f>
        <v>175476</v>
      </c>
      <c r="N37" s="114">
        <f>(F37-M37)</f>
        <v>449626.52757663536</v>
      </c>
      <c r="T37" s="113">
        <f t="shared" si="10"/>
        <v>10848.450882752377</v>
      </c>
      <c r="U37" s="146">
        <f t="shared" si="11"/>
        <v>181296.45088275237</v>
      </c>
    </row>
    <row r="38" spans="1:21" x14ac:dyDescent="0.35">
      <c r="K38" s="153" t="s">
        <v>97</v>
      </c>
      <c r="L38" s="153"/>
      <c r="M38" s="117">
        <f>(M37-100000)</f>
        <v>75476</v>
      </c>
    </row>
    <row r="39" spans="1:21" x14ac:dyDescent="0.35">
      <c r="K39" s="149" t="s">
        <v>98</v>
      </c>
      <c r="L39" s="149"/>
      <c r="M39" s="118">
        <f>(F37-M37)</f>
        <v>449626.52757663536</v>
      </c>
    </row>
    <row r="62" spans="4:4" x14ac:dyDescent="0.35">
      <c r="D62" s="119"/>
    </row>
  </sheetData>
  <mergeCells count="7">
    <mergeCell ref="K39:L39"/>
    <mergeCell ref="K1:N1"/>
    <mergeCell ref="O1:R1"/>
    <mergeCell ref="T1:U1"/>
    <mergeCell ref="O13:P13"/>
    <mergeCell ref="O14:P14"/>
    <mergeCell ref="K38:L38"/>
  </mergeCells>
  <conditionalFormatting sqref="R3:R12">
    <cfRule type="cellIs" dxfId="6" priority="3" stopIfTrue="1" operator="lessThan">
      <formula>0</formula>
    </cfRule>
  </conditionalFormatting>
  <conditionalFormatting sqref="N3:N37">
    <cfRule type="cellIs" dxfId="5" priority="2" stopIfTrue="1" operator="lessThan">
      <formula>0</formula>
    </cfRule>
  </conditionalFormatting>
  <conditionalFormatting sqref="Q13:Q14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590B9-D7B8-4E23-8853-9671FBE8121C}">
  <dimension ref="B2:Y24"/>
  <sheetViews>
    <sheetView zoomScale="70" zoomScaleNormal="70" workbookViewId="0">
      <pane xSplit="10" ySplit="13" topLeftCell="O14" activePane="bottomRight" state="frozen"/>
      <selection pane="topRight" activeCell="K1" sqref="K1"/>
      <selection pane="bottomLeft" activeCell="A14" sqref="A14"/>
      <selection pane="bottomRight" activeCell="D2" sqref="D2"/>
    </sheetView>
  </sheetViews>
  <sheetFormatPr defaultRowHeight="14.5" x14ac:dyDescent="0.35"/>
  <cols>
    <col min="1" max="1" width="3.1796875" customWidth="1"/>
    <col min="3" max="3" width="18.1796875" bestFit="1" customWidth="1"/>
    <col min="4" max="4" width="18.08984375" customWidth="1"/>
    <col min="5" max="5" width="11.90625" bestFit="1" customWidth="1"/>
    <col min="6" max="8" width="11.90625" customWidth="1"/>
    <col min="9" max="9" width="12.08984375" bestFit="1" customWidth="1"/>
    <col min="10" max="10" width="14.36328125" bestFit="1" customWidth="1"/>
    <col min="11" max="11" width="11.90625" bestFit="1" customWidth="1"/>
    <col min="12" max="12" width="11.36328125" bestFit="1" customWidth="1"/>
    <col min="13" max="13" width="10.1796875" bestFit="1" customWidth="1"/>
    <col min="14" max="14" width="11.36328125" bestFit="1" customWidth="1"/>
    <col min="15" max="15" width="11.54296875" bestFit="1" customWidth="1"/>
    <col min="16" max="17" width="11.36328125" bestFit="1" customWidth="1"/>
    <col min="18" max="18" width="12.54296875" bestFit="1" customWidth="1"/>
    <col min="19" max="19" width="9.36328125" bestFit="1" customWidth="1"/>
    <col min="20" max="20" width="10.36328125" bestFit="1" customWidth="1"/>
    <col min="21" max="21" width="10.54296875" bestFit="1" customWidth="1"/>
    <col min="22" max="22" width="9.36328125" bestFit="1" customWidth="1"/>
    <col min="23" max="24" width="12.54296875" bestFit="1" customWidth="1"/>
    <col min="25" max="25" width="9.90625" customWidth="1"/>
  </cols>
  <sheetData>
    <row r="2" spans="2:25" x14ac:dyDescent="0.35">
      <c r="C2" s="1" t="s">
        <v>104</v>
      </c>
      <c r="D2" s="120">
        <v>5000</v>
      </c>
      <c r="H2" s="1" t="s">
        <v>105</v>
      </c>
      <c r="I2" t="s">
        <v>106</v>
      </c>
      <c r="J2" s="121">
        <v>0.22</v>
      </c>
    </row>
    <row r="3" spans="2:25" x14ac:dyDescent="0.35">
      <c r="C3" s="1" t="s">
        <v>107</v>
      </c>
      <c r="D3" s="122">
        <v>4</v>
      </c>
      <c r="I3" t="s">
        <v>108</v>
      </c>
      <c r="J3" s="121">
        <v>0.19</v>
      </c>
    </row>
    <row r="4" spans="2:25" x14ac:dyDescent="0.35">
      <c r="I4" t="s">
        <v>109</v>
      </c>
      <c r="J4" s="121">
        <v>0.22</v>
      </c>
    </row>
    <row r="5" spans="2:25" x14ac:dyDescent="0.35">
      <c r="C5" s="123" t="s">
        <v>110</v>
      </c>
      <c r="I5" t="s">
        <v>111</v>
      </c>
      <c r="J5" s="121">
        <v>30.28</v>
      </c>
    </row>
    <row r="6" spans="2:25" x14ac:dyDescent="0.35">
      <c r="C6" s="77"/>
      <c r="D6" t="s">
        <v>112</v>
      </c>
      <c r="I6" t="s">
        <v>113</v>
      </c>
      <c r="J6" s="121">
        <v>293.45</v>
      </c>
    </row>
    <row r="7" spans="2:25" x14ac:dyDescent="0.35">
      <c r="I7" t="s">
        <v>114</v>
      </c>
      <c r="J7" s="121">
        <v>7.93</v>
      </c>
    </row>
    <row r="8" spans="2:25" x14ac:dyDescent="0.35">
      <c r="I8" t="s">
        <v>115</v>
      </c>
      <c r="J8" s="124">
        <v>3337.18</v>
      </c>
    </row>
    <row r="10" spans="2:25" ht="15" thickBot="1" x14ac:dyDescent="0.4">
      <c r="E10" s="154" t="s">
        <v>116</v>
      </c>
      <c r="F10" s="154"/>
      <c r="G10" s="154"/>
      <c r="H10" s="154" t="s">
        <v>117</v>
      </c>
      <c r="I10" s="154"/>
      <c r="J10" s="154"/>
      <c r="K10" s="154" t="s">
        <v>118</v>
      </c>
      <c r="L10" s="154"/>
      <c r="M10" s="154"/>
      <c r="N10" s="154" t="s">
        <v>119</v>
      </c>
      <c r="O10" s="154"/>
      <c r="P10" s="154"/>
      <c r="Q10" s="154" t="s">
        <v>120</v>
      </c>
      <c r="R10" s="154"/>
      <c r="S10" s="154"/>
      <c r="T10" s="154" t="s">
        <v>121</v>
      </c>
      <c r="U10" s="154"/>
      <c r="V10" s="154"/>
      <c r="W10" s="154" t="s">
        <v>122</v>
      </c>
      <c r="X10" s="154"/>
      <c r="Y10" s="154"/>
    </row>
    <row r="11" spans="2:25" s="42" customFormat="1" x14ac:dyDescent="0.35">
      <c r="D11" s="125" t="s">
        <v>123</v>
      </c>
      <c r="E11" s="126" t="s">
        <v>124</v>
      </c>
      <c r="F11" s="127" t="s">
        <v>125</v>
      </c>
      <c r="G11" s="128" t="s">
        <v>126</v>
      </c>
      <c r="H11" s="126" t="s">
        <v>127</v>
      </c>
      <c r="I11" s="127" t="s">
        <v>128</v>
      </c>
      <c r="J11" s="128" t="s">
        <v>126</v>
      </c>
      <c r="K11" s="126" t="s">
        <v>129</v>
      </c>
      <c r="L11" s="127" t="s">
        <v>130</v>
      </c>
      <c r="M11" s="128" t="s">
        <v>126</v>
      </c>
      <c r="N11" s="126" t="s">
        <v>131</v>
      </c>
      <c r="O11" s="127" t="s">
        <v>132</v>
      </c>
      <c r="P11" s="128" t="s">
        <v>126</v>
      </c>
      <c r="Q11" s="126" t="s">
        <v>133</v>
      </c>
      <c r="R11" s="127" t="s">
        <v>134</v>
      </c>
      <c r="S11" s="128" t="s">
        <v>126</v>
      </c>
      <c r="T11" s="126" t="s">
        <v>135</v>
      </c>
      <c r="U11" s="127" t="s">
        <v>136</v>
      </c>
      <c r="V11" s="128" t="s">
        <v>126</v>
      </c>
      <c r="W11" s="126" t="s">
        <v>137</v>
      </c>
      <c r="X11" s="127" t="s">
        <v>138</v>
      </c>
      <c r="Y11" s="128" t="s">
        <v>126</v>
      </c>
    </row>
    <row r="12" spans="2:25" x14ac:dyDescent="0.35">
      <c r="B12" s="1" t="s">
        <v>139</v>
      </c>
      <c r="C12" t="s">
        <v>140</v>
      </c>
      <c r="D12" s="9">
        <v>1</v>
      </c>
      <c r="E12" s="129">
        <v>270</v>
      </c>
      <c r="F12" s="130">
        <f>E12*D12</f>
        <v>270</v>
      </c>
      <c r="G12" s="131">
        <f>F12/J$2</f>
        <v>1227.2727272727273</v>
      </c>
      <c r="H12" s="129">
        <v>270</v>
      </c>
      <c r="I12" s="130">
        <f>H12*$D12</f>
        <v>270</v>
      </c>
      <c r="J12" s="131">
        <f>I12/J$3</f>
        <v>1421.0526315789473</v>
      </c>
      <c r="K12" s="129">
        <v>1100</v>
      </c>
      <c r="L12" s="130">
        <f>K12*$D12</f>
        <v>1100</v>
      </c>
      <c r="M12" s="131">
        <f>L12/J$4</f>
        <v>5000</v>
      </c>
      <c r="N12" s="129">
        <v>36336</v>
      </c>
      <c r="O12" s="130">
        <f>N12*$D12</f>
        <v>36336</v>
      </c>
      <c r="P12" s="131">
        <f>O12/J$5</f>
        <v>1200</v>
      </c>
      <c r="Q12" s="129">
        <v>352140</v>
      </c>
      <c r="R12" s="130">
        <f>Q12*$D12</f>
        <v>352140</v>
      </c>
      <c r="S12" s="131">
        <f>R12/J$6</f>
        <v>1200</v>
      </c>
      <c r="T12" s="129">
        <v>5360.68</v>
      </c>
      <c r="U12" s="130">
        <f>T12*$D12</f>
        <v>5360.68</v>
      </c>
      <c r="V12" s="131">
        <f>U12/J$7</f>
        <v>676.00000000000011</v>
      </c>
      <c r="W12" s="129">
        <v>3014346.5</v>
      </c>
      <c r="X12" s="130">
        <f>W12*$D12</f>
        <v>3014346.5</v>
      </c>
      <c r="Y12" s="131">
        <f>X12/J$8</f>
        <v>903.26158612960648</v>
      </c>
    </row>
    <row r="13" spans="2:25" x14ac:dyDescent="0.35">
      <c r="C13" t="s">
        <v>141</v>
      </c>
      <c r="D13" s="9">
        <v>1</v>
      </c>
      <c r="E13" s="129">
        <v>24</v>
      </c>
      <c r="F13" s="130">
        <f t="shared" ref="F13:F21" si="0">E13*D13</f>
        <v>24</v>
      </c>
      <c r="G13" s="131">
        <f t="shared" ref="G13:G21" si="1">F13/J$2</f>
        <v>109.09090909090909</v>
      </c>
      <c r="H13" s="129">
        <v>19.600000000000001</v>
      </c>
      <c r="I13" s="130">
        <f t="shared" ref="I13:I21" si="2">H13*$D13</f>
        <v>19.600000000000001</v>
      </c>
      <c r="J13" s="131">
        <f t="shared" ref="J13:J21" si="3">I13/J$3</f>
        <v>103.15789473684211</v>
      </c>
      <c r="K13" s="129">
        <v>29</v>
      </c>
      <c r="L13" s="130">
        <f t="shared" ref="L13:L21" si="4">K13*$D13</f>
        <v>29</v>
      </c>
      <c r="M13" s="131">
        <f t="shared" ref="M13:M21" si="5">L13/J$4</f>
        <v>131.81818181818181</v>
      </c>
      <c r="N13" s="129">
        <v>7500</v>
      </c>
      <c r="O13" s="130">
        <f t="shared" ref="O13:O21" si="6">N13*$D13</f>
        <v>7500</v>
      </c>
      <c r="P13" s="131">
        <f t="shared" ref="P13:P21" si="7">O13/J$5</f>
        <v>247.68824306472919</v>
      </c>
      <c r="Q13" s="129">
        <v>64500</v>
      </c>
      <c r="R13" s="130">
        <f t="shared" ref="R13:R21" si="8">Q13*$D13</f>
        <v>64500</v>
      </c>
      <c r="S13" s="131">
        <f t="shared" ref="S13:S21" si="9">R13/J$6</f>
        <v>219.7989436019765</v>
      </c>
      <c r="T13" s="129">
        <v>700</v>
      </c>
      <c r="U13" s="130">
        <f t="shared" ref="U13:U21" si="10">T13*$D13</f>
        <v>700</v>
      </c>
      <c r="V13" s="131">
        <f t="shared" ref="V13:V21" si="11">U13/J$7</f>
        <v>88.272383354350566</v>
      </c>
      <c r="W13" s="129">
        <v>240000</v>
      </c>
      <c r="X13" s="130">
        <f t="shared" ref="X13:X21" si="12">W13*$D13</f>
        <v>240000</v>
      </c>
      <c r="Y13" s="131">
        <f t="shared" ref="Y13:Y21" si="13">X13/J$8</f>
        <v>71.917007773029923</v>
      </c>
    </row>
    <row r="14" spans="2:25" x14ac:dyDescent="0.35">
      <c r="C14" t="s">
        <v>142</v>
      </c>
      <c r="D14" s="9">
        <f>D3</f>
        <v>4</v>
      </c>
      <c r="E14" s="129">
        <v>80</v>
      </c>
      <c r="F14" s="130">
        <f t="shared" si="0"/>
        <v>320</v>
      </c>
      <c r="G14" s="131">
        <f t="shared" si="1"/>
        <v>1454.5454545454545</v>
      </c>
      <c r="H14" s="129">
        <v>70</v>
      </c>
      <c r="I14" s="130">
        <f t="shared" si="2"/>
        <v>280</v>
      </c>
      <c r="J14" s="131">
        <f t="shared" si="3"/>
        <v>1473.6842105263158</v>
      </c>
      <c r="K14" s="129">
        <v>104.5</v>
      </c>
      <c r="L14" s="130">
        <f t="shared" si="4"/>
        <v>418</v>
      </c>
      <c r="M14" s="131">
        <f t="shared" si="5"/>
        <v>1900</v>
      </c>
      <c r="N14" s="129">
        <v>7274.7699999999995</v>
      </c>
      <c r="O14" s="130">
        <f t="shared" si="6"/>
        <v>29099.079999999998</v>
      </c>
      <c r="P14" s="131">
        <f t="shared" si="7"/>
        <v>960.99999999999989</v>
      </c>
      <c r="Q14" s="129">
        <v>72775.600000000006</v>
      </c>
      <c r="R14" s="130">
        <f t="shared" si="8"/>
        <v>291102.40000000002</v>
      </c>
      <c r="S14" s="131">
        <f t="shared" si="9"/>
        <v>992.00000000000011</v>
      </c>
      <c r="T14" s="129">
        <v>1276.73</v>
      </c>
      <c r="U14" s="130">
        <f t="shared" si="10"/>
        <v>5106.92</v>
      </c>
      <c r="V14" s="131">
        <f t="shared" si="11"/>
        <v>644</v>
      </c>
      <c r="W14" s="129">
        <v>400425</v>
      </c>
      <c r="X14" s="130">
        <f t="shared" si="12"/>
        <v>1601700</v>
      </c>
      <c r="Y14" s="131">
        <f t="shared" si="13"/>
        <v>479.95613062525848</v>
      </c>
    </row>
    <row r="15" spans="2:25" x14ac:dyDescent="0.35">
      <c r="C15" t="s">
        <v>143</v>
      </c>
      <c r="D15" s="9">
        <v>1</v>
      </c>
      <c r="E15" s="129"/>
      <c r="F15" s="130">
        <f t="shared" si="0"/>
        <v>0</v>
      </c>
      <c r="G15" s="131">
        <f t="shared" si="1"/>
        <v>0</v>
      </c>
      <c r="H15" s="129"/>
      <c r="I15" s="130">
        <f t="shared" si="2"/>
        <v>0</v>
      </c>
      <c r="J15" s="131">
        <f t="shared" si="3"/>
        <v>0</v>
      </c>
      <c r="K15" s="129"/>
      <c r="L15" s="130">
        <f t="shared" si="4"/>
        <v>0</v>
      </c>
      <c r="M15" s="131">
        <f t="shared" si="5"/>
        <v>0</v>
      </c>
      <c r="N15" s="129"/>
      <c r="O15" s="130">
        <f t="shared" si="6"/>
        <v>0</v>
      </c>
      <c r="P15" s="131">
        <f t="shared" si="7"/>
        <v>0</v>
      </c>
      <c r="Q15" s="129"/>
      <c r="R15" s="130">
        <f t="shared" si="8"/>
        <v>0</v>
      </c>
      <c r="S15" s="131">
        <f t="shared" si="9"/>
        <v>0</v>
      </c>
      <c r="T15" s="129"/>
      <c r="U15" s="130">
        <f t="shared" si="10"/>
        <v>0</v>
      </c>
      <c r="V15" s="131">
        <f t="shared" si="11"/>
        <v>0</v>
      </c>
      <c r="W15" s="129"/>
      <c r="X15" s="130">
        <f t="shared" si="12"/>
        <v>0</v>
      </c>
      <c r="Y15" s="131">
        <f t="shared" si="13"/>
        <v>0</v>
      </c>
    </row>
    <row r="16" spans="2:25" x14ac:dyDescent="0.35">
      <c r="C16" t="s">
        <v>144</v>
      </c>
      <c r="D16" s="9">
        <v>1</v>
      </c>
      <c r="E16" s="129">
        <v>13</v>
      </c>
      <c r="F16" s="130">
        <f t="shared" si="0"/>
        <v>13</v>
      </c>
      <c r="G16" s="131">
        <f t="shared" si="1"/>
        <v>59.090909090909093</v>
      </c>
      <c r="H16" s="129">
        <v>10</v>
      </c>
      <c r="I16" s="130">
        <f t="shared" si="2"/>
        <v>10</v>
      </c>
      <c r="J16" s="131">
        <f t="shared" si="3"/>
        <v>52.631578947368418</v>
      </c>
      <c r="K16" s="129">
        <v>30.4</v>
      </c>
      <c r="L16" s="130">
        <f t="shared" si="4"/>
        <v>30.4</v>
      </c>
      <c r="M16" s="131">
        <f t="shared" si="5"/>
        <v>138.18181818181819</v>
      </c>
      <c r="N16" s="129">
        <v>2712.7852000000003</v>
      </c>
      <c r="O16" s="130">
        <f t="shared" si="6"/>
        <v>2712.7852000000003</v>
      </c>
      <c r="P16" s="131">
        <f t="shared" si="7"/>
        <v>89.59</v>
      </c>
      <c r="Q16" s="129">
        <v>6646.6424999999981</v>
      </c>
      <c r="R16" s="130">
        <f t="shared" si="8"/>
        <v>6646.6424999999981</v>
      </c>
      <c r="S16" s="131">
        <f t="shared" si="9"/>
        <v>22.649999999999995</v>
      </c>
      <c r="T16" s="129">
        <v>300</v>
      </c>
      <c r="U16" s="130">
        <f t="shared" si="10"/>
        <v>300</v>
      </c>
      <c r="V16" s="131">
        <f t="shared" si="11"/>
        <v>37.831021437578819</v>
      </c>
      <c r="W16" s="129">
        <v>110084.25</v>
      </c>
      <c r="X16" s="130">
        <f t="shared" si="12"/>
        <v>110084.25</v>
      </c>
      <c r="Y16" s="131">
        <f t="shared" si="13"/>
        <v>32.987207762242377</v>
      </c>
    </row>
    <row r="17" spans="2:25" x14ac:dyDescent="0.35">
      <c r="B17" s="1" t="s">
        <v>145</v>
      </c>
      <c r="C17" t="s">
        <v>146</v>
      </c>
      <c r="D17" s="9">
        <f>D$3+1</f>
        <v>5</v>
      </c>
      <c r="E17" s="129"/>
      <c r="F17" s="130">
        <f t="shared" si="0"/>
        <v>0</v>
      </c>
      <c r="G17" s="131">
        <f t="shared" si="1"/>
        <v>0</v>
      </c>
      <c r="H17" s="129"/>
      <c r="I17" s="130">
        <f t="shared" si="2"/>
        <v>0</v>
      </c>
      <c r="J17" s="131">
        <f t="shared" si="3"/>
        <v>0</v>
      </c>
      <c r="K17" s="129"/>
      <c r="L17" s="130">
        <f t="shared" si="4"/>
        <v>0</v>
      </c>
      <c r="M17" s="131">
        <f t="shared" si="5"/>
        <v>0</v>
      </c>
      <c r="N17" s="129"/>
      <c r="O17" s="130">
        <f t="shared" si="6"/>
        <v>0</v>
      </c>
      <c r="P17" s="131">
        <f t="shared" si="7"/>
        <v>0</v>
      </c>
      <c r="Q17" s="129"/>
      <c r="R17" s="130">
        <f t="shared" si="8"/>
        <v>0</v>
      </c>
      <c r="S17" s="131">
        <f t="shared" si="9"/>
        <v>0</v>
      </c>
      <c r="T17" s="129"/>
      <c r="U17" s="130">
        <f t="shared" si="10"/>
        <v>0</v>
      </c>
      <c r="V17" s="131">
        <f t="shared" si="11"/>
        <v>0</v>
      </c>
      <c r="W17" s="129"/>
      <c r="X17" s="130">
        <f t="shared" si="12"/>
        <v>0</v>
      </c>
      <c r="Y17" s="131">
        <f t="shared" si="13"/>
        <v>0</v>
      </c>
    </row>
    <row r="18" spans="2:25" x14ac:dyDescent="0.35">
      <c r="C18" t="s">
        <v>147</v>
      </c>
      <c r="D18" s="9">
        <f>D$3+1</f>
        <v>5</v>
      </c>
      <c r="E18" s="129">
        <v>14</v>
      </c>
      <c r="F18" s="130">
        <f t="shared" si="0"/>
        <v>70</v>
      </c>
      <c r="G18" s="131">
        <f t="shared" si="1"/>
        <v>318.18181818181819</v>
      </c>
      <c r="H18" s="129">
        <v>12</v>
      </c>
      <c r="I18" s="130">
        <f t="shared" si="2"/>
        <v>60</v>
      </c>
      <c r="J18" s="131">
        <f t="shared" si="3"/>
        <v>315.78947368421052</v>
      </c>
      <c r="K18" s="129">
        <v>10</v>
      </c>
      <c r="L18" s="130">
        <f t="shared" si="4"/>
        <v>50</v>
      </c>
      <c r="M18" s="131">
        <f t="shared" si="5"/>
        <v>227.27272727272728</v>
      </c>
      <c r="N18" s="129">
        <v>1500</v>
      </c>
      <c r="O18" s="130">
        <f t="shared" si="6"/>
        <v>7500</v>
      </c>
      <c r="P18" s="131">
        <f t="shared" si="7"/>
        <v>247.68824306472919</v>
      </c>
      <c r="Q18" s="129">
        <v>8000</v>
      </c>
      <c r="R18" s="130">
        <f t="shared" si="8"/>
        <v>40000</v>
      </c>
      <c r="S18" s="131">
        <f t="shared" si="9"/>
        <v>136.30942238882264</v>
      </c>
      <c r="T18" s="129">
        <v>206</v>
      </c>
      <c r="U18" s="130">
        <f t="shared" si="10"/>
        <v>1030</v>
      </c>
      <c r="V18" s="131">
        <f t="shared" si="11"/>
        <v>129.88650693568727</v>
      </c>
      <c r="W18" s="129">
        <v>103362</v>
      </c>
      <c r="X18" s="130">
        <f t="shared" si="12"/>
        <v>516810</v>
      </c>
      <c r="Y18" s="131">
        <f t="shared" si="13"/>
        <v>154.86428661324831</v>
      </c>
    </row>
    <row r="19" spans="2:25" x14ac:dyDescent="0.35">
      <c r="C19" t="s">
        <v>148</v>
      </c>
      <c r="D19" s="9">
        <f>D$3+1</f>
        <v>5</v>
      </c>
      <c r="E19" s="129">
        <v>14</v>
      </c>
      <c r="F19" s="130">
        <f t="shared" si="0"/>
        <v>70</v>
      </c>
      <c r="G19" s="131">
        <f t="shared" si="1"/>
        <v>318.18181818181819</v>
      </c>
      <c r="H19" s="129">
        <v>12</v>
      </c>
      <c r="I19" s="130">
        <f t="shared" si="2"/>
        <v>60</v>
      </c>
      <c r="J19" s="131">
        <f t="shared" si="3"/>
        <v>315.78947368421052</v>
      </c>
      <c r="K19" s="129">
        <v>10</v>
      </c>
      <c r="L19" s="130">
        <f t="shared" si="4"/>
        <v>50</v>
      </c>
      <c r="M19" s="131">
        <f t="shared" si="5"/>
        <v>227.27272727272728</v>
      </c>
      <c r="N19" s="129">
        <v>1500</v>
      </c>
      <c r="O19" s="130">
        <f t="shared" si="6"/>
        <v>7500</v>
      </c>
      <c r="P19" s="131">
        <f t="shared" si="7"/>
        <v>247.68824306472919</v>
      </c>
      <c r="Q19" s="129">
        <v>8000</v>
      </c>
      <c r="R19" s="130">
        <f t="shared" si="8"/>
        <v>40000</v>
      </c>
      <c r="S19" s="131">
        <f t="shared" si="9"/>
        <v>136.30942238882264</v>
      </c>
      <c r="T19" s="129">
        <v>206</v>
      </c>
      <c r="U19" s="130">
        <f t="shared" si="10"/>
        <v>1030</v>
      </c>
      <c r="V19" s="131">
        <f t="shared" si="11"/>
        <v>129.88650693568727</v>
      </c>
      <c r="W19" s="129">
        <v>103362</v>
      </c>
      <c r="X19" s="130">
        <f t="shared" si="12"/>
        <v>516810</v>
      </c>
      <c r="Y19" s="131">
        <f t="shared" si="13"/>
        <v>154.86428661324831</v>
      </c>
    </row>
    <row r="20" spans="2:25" x14ac:dyDescent="0.35">
      <c r="B20" s="1" t="s">
        <v>149</v>
      </c>
      <c r="C20" t="s">
        <v>150</v>
      </c>
      <c r="D20" s="9">
        <v>1</v>
      </c>
      <c r="E20" s="132">
        <f>E12*50%</f>
        <v>135</v>
      </c>
      <c r="F20" s="130">
        <f t="shared" si="0"/>
        <v>135</v>
      </c>
      <c r="G20" s="131">
        <f t="shared" si="1"/>
        <v>613.63636363636363</v>
      </c>
      <c r="H20" s="133">
        <f>H12*50%</f>
        <v>135</v>
      </c>
      <c r="I20" s="130">
        <f t="shared" si="2"/>
        <v>135</v>
      </c>
      <c r="J20" s="131">
        <f t="shared" si="3"/>
        <v>710.52631578947364</v>
      </c>
      <c r="K20" s="133">
        <f>K12*50%</f>
        <v>550</v>
      </c>
      <c r="L20" s="130">
        <f t="shared" si="4"/>
        <v>550</v>
      </c>
      <c r="M20" s="131">
        <f t="shared" si="5"/>
        <v>2500</v>
      </c>
      <c r="N20" s="133">
        <f>N12*50%</f>
        <v>18168</v>
      </c>
      <c r="O20" s="130">
        <f t="shared" si="6"/>
        <v>18168</v>
      </c>
      <c r="P20" s="131">
        <f t="shared" si="7"/>
        <v>600</v>
      </c>
      <c r="Q20" s="133">
        <f>Q12*50%</f>
        <v>176070</v>
      </c>
      <c r="R20" s="130">
        <f t="shared" si="8"/>
        <v>176070</v>
      </c>
      <c r="S20" s="131">
        <f t="shared" si="9"/>
        <v>600</v>
      </c>
      <c r="T20" s="133">
        <f>T12*50%</f>
        <v>2680.34</v>
      </c>
      <c r="U20" s="130">
        <f t="shared" si="10"/>
        <v>2680.34</v>
      </c>
      <c r="V20" s="131">
        <f t="shared" si="11"/>
        <v>338.00000000000006</v>
      </c>
      <c r="W20" s="133">
        <f>W12*50%</f>
        <v>1507173.25</v>
      </c>
      <c r="X20" s="130">
        <f t="shared" si="12"/>
        <v>1507173.25</v>
      </c>
      <c r="Y20" s="131">
        <f t="shared" si="13"/>
        <v>451.63079306480324</v>
      </c>
    </row>
    <row r="21" spans="2:25" x14ac:dyDescent="0.35">
      <c r="C21" t="s">
        <v>151</v>
      </c>
      <c r="D21" s="9">
        <v>1</v>
      </c>
      <c r="E21" s="129">
        <v>110.00000000000099</v>
      </c>
      <c r="F21" s="130">
        <f t="shared" si="0"/>
        <v>110.00000000000099</v>
      </c>
      <c r="G21" s="131">
        <f t="shared" si="1"/>
        <v>500.00000000000455</v>
      </c>
      <c r="H21" s="129">
        <v>111.00000000000099</v>
      </c>
      <c r="I21" s="130">
        <f t="shared" si="2"/>
        <v>111.00000000000099</v>
      </c>
      <c r="J21" s="131">
        <f t="shared" si="3"/>
        <v>584.21052631579471</v>
      </c>
      <c r="K21" s="129">
        <v>43.999999999999993</v>
      </c>
      <c r="L21" s="130">
        <f t="shared" si="4"/>
        <v>43.999999999999993</v>
      </c>
      <c r="M21" s="131">
        <f t="shared" si="5"/>
        <v>199.99999999999997</v>
      </c>
      <c r="N21" s="129">
        <v>6056.0000000000009</v>
      </c>
      <c r="O21" s="130">
        <f t="shared" si="6"/>
        <v>6056.0000000000009</v>
      </c>
      <c r="P21" s="131">
        <f t="shared" si="7"/>
        <v>200.00000000000003</v>
      </c>
      <c r="Q21" s="129">
        <v>58690</v>
      </c>
      <c r="R21" s="130">
        <f t="shared" si="8"/>
        <v>58690</v>
      </c>
      <c r="S21" s="131">
        <f t="shared" si="9"/>
        <v>200</v>
      </c>
      <c r="T21" s="129">
        <v>1586</v>
      </c>
      <c r="U21" s="130">
        <f t="shared" si="10"/>
        <v>1586</v>
      </c>
      <c r="V21" s="131">
        <f t="shared" si="11"/>
        <v>200</v>
      </c>
      <c r="W21" s="129">
        <v>667436</v>
      </c>
      <c r="X21" s="130">
        <f t="shared" si="12"/>
        <v>667436</v>
      </c>
      <c r="Y21" s="131">
        <f t="shared" si="13"/>
        <v>200</v>
      </c>
    </row>
    <row r="22" spans="2:25" x14ac:dyDescent="0.35">
      <c r="B22" s="155" t="s">
        <v>6</v>
      </c>
      <c r="C22" s="155"/>
      <c r="D22" s="9"/>
      <c r="E22" s="134"/>
      <c r="F22" s="135">
        <f>SUM(F12:F21)</f>
        <v>1012.000000000001</v>
      </c>
      <c r="G22" s="136">
        <f>SUM(G12:G21)</f>
        <v>4600.0000000000045</v>
      </c>
      <c r="H22" s="134"/>
      <c r="I22" s="130">
        <f>SUM(I12:I21)</f>
        <v>945.60000000000105</v>
      </c>
      <c r="J22" s="136">
        <f>SUM(J12:J21)</f>
        <v>4976.842105263162</v>
      </c>
      <c r="K22" s="134"/>
      <c r="L22" s="130">
        <f>SUM(L12:L21)</f>
        <v>2271.4</v>
      </c>
      <c r="M22" s="136">
        <f>SUM(M12:M21)</f>
        <v>10324.545454545454</v>
      </c>
      <c r="N22" s="134"/>
      <c r="O22" s="130">
        <f>SUM(O12:O21)</f>
        <v>114871.8652</v>
      </c>
      <c r="P22" s="136">
        <f>SUM(P12:P21)</f>
        <v>3793.6547291941879</v>
      </c>
      <c r="Q22" s="134"/>
      <c r="R22" s="130">
        <f>SUM(R12:R21)</f>
        <v>1029149.0425</v>
      </c>
      <c r="S22" s="136">
        <f>SUM(S12:S21)</f>
        <v>3507.0677883796216</v>
      </c>
      <c r="T22" s="134"/>
      <c r="U22" s="130">
        <f>SUM(U12:U21)</f>
        <v>17793.940000000002</v>
      </c>
      <c r="V22" s="136">
        <f>SUM(V12:V21)</f>
        <v>2243.8764186633043</v>
      </c>
      <c r="W22" s="134"/>
      <c r="X22" s="130">
        <f>SUM(X12:X21)</f>
        <v>8174360</v>
      </c>
      <c r="Y22" s="136">
        <f>SUM(Y12:Y21)</f>
        <v>2449.4812985814374</v>
      </c>
    </row>
    <row r="23" spans="2:25" ht="15" thickBot="1" x14ac:dyDescent="0.4">
      <c r="B23" s="155" t="s">
        <v>152</v>
      </c>
      <c r="C23" s="155"/>
      <c r="D23" s="9"/>
      <c r="E23" s="137"/>
      <c r="F23" s="140">
        <f>G23*J2</f>
        <v>87.999999999999005</v>
      </c>
      <c r="G23" s="141">
        <f>D2-G22</f>
        <v>399.99999999999545</v>
      </c>
      <c r="H23" s="137"/>
      <c r="I23" s="140">
        <f>J23*J3</f>
        <v>4.3999999999992179</v>
      </c>
      <c r="J23" s="141">
        <f>$D$2-J22</f>
        <v>23.157894736837989</v>
      </c>
      <c r="K23" s="137"/>
      <c r="L23" s="140">
        <f>M23*J4</f>
        <v>-1171.3999999999999</v>
      </c>
      <c r="M23" s="141">
        <f>$D$2-M22</f>
        <v>-5324.545454545454</v>
      </c>
      <c r="N23" s="137"/>
      <c r="O23" s="140">
        <f>P23*J5</f>
        <v>36528.134799999993</v>
      </c>
      <c r="P23" s="141">
        <f>$D$2-P22</f>
        <v>1206.3452708058121</v>
      </c>
      <c r="Q23" s="137"/>
      <c r="R23" s="140">
        <f>S23*J6</f>
        <v>438100.95750000002</v>
      </c>
      <c r="S23" s="141">
        <f>$D$2-S22</f>
        <v>1492.9322116203784</v>
      </c>
      <c r="T23" s="137"/>
      <c r="U23" s="140">
        <f>V23*J7</f>
        <v>21856.059999999998</v>
      </c>
      <c r="V23" s="141">
        <f>$D$2-V22</f>
        <v>2756.1235813366957</v>
      </c>
      <c r="W23" s="137"/>
      <c r="X23" s="140">
        <f>Y23*J8</f>
        <v>8511539.9999999981</v>
      </c>
      <c r="Y23" s="141">
        <f>$D$2-Y22</f>
        <v>2550.5187014185626</v>
      </c>
    </row>
    <row r="24" spans="2:25" x14ac:dyDescent="0.35">
      <c r="B24" s="155"/>
      <c r="C24" s="155"/>
      <c r="D24" s="9"/>
      <c r="E24" s="9"/>
      <c r="F24" s="9"/>
      <c r="G24" s="9"/>
      <c r="H24" s="9"/>
      <c r="I24" s="9"/>
      <c r="J24" s="138"/>
    </row>
  </sheetData>
  <mergeCells count="10">
    <mergeCell ref="W10:Y10"/>
    <mergeCell ref="B22:C22"/>
    <mergeCell ref="B23:C23"/>
    <mergeCell ref="B24:C24"/>
    <mergeCell ref="E10:G10"/>
    <mergeCell ref="H10:J10"/>
    <mergeCell ref="K10:M10"/>
    <mergeCell ref="N10:P10"/>
    <mergeCell ref="Q10:S10"/>
    <mergeCell ref="T10:V10"/>
  </mergeCells>
  <conditionalFormatting sqref="G23">
    <cfRule type="cellIs" dxfId="3" priority="4" stopIfTrue="1" operator="lessThan">
      <formula>0</formula>
    </cfRule>
  </conditionalFormatting>
  <conditionalFormatting sqref="F23">
    <cfRule type="cellIs" dxfId="2" priority="3" stopIfTrue="1" operator="lessThan">
      <formula>0</formula>
    </cfRule>
  </conditionalFormatting>
  <conditionalFormatting sqref="X23:Y23 U23:V23 R23:S23 O23:P23 L23:M23">
    <cfRule type="cellIs" dxfId="1" priority="2" stopIfTrue="1" operator="lessThan">
      <formula>0</formula>
    </cfRule>
  </conditionalFormatting>
  <conditionalFormatting sqref="I23:J2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361307566D794D944860B269E140A0" ma:contentTypeVersion="18" ma:contentTypeDescription="Create a new document." ma:contentTypeScope="" ma:versionID="1f8360200b2023f3a6df27e1941b2e31">
  <xsd:schema xmlns:xsd="http://www.w3.org/2001/XMLSchema" xmlns:xs="http://www.w3.org/2001/XMLSchema" xmlns:p="http://schemas.microsoft.com/office/2006/metadata/properties" xmlns:ns3="a1e40a5f-8deb-4f42-a318-2910d9ac14c4" xmlns:ns4="94897a4a-cc91-4e53-be7a-3cb06c46e1bd" targetNamespace="http://schemas.microsoft.com/office/2006/metadata/properties" ma:root="true" ma:fieldsID="b4cc259498cebf581fccbadf7ddb06d4" ns3:_="" ns4:_="">
    <xsd:import namespace="a1e40a5f-8deb-4f42-a318-2910d9ac14c4"/>
    <xsd:import namespace="94897a4a-cc91-4e53-be7a-3cb06c46e1b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e40a5f-8deb-4f42-a318-2910d9ac14c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897a4a-cc91-4e53-be7a-3cb06c46e1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4897a4a-cc91-4e53-be7a-3cb06c46e1bd" xsi:nil="true"/>
  </documentManagement>
</p:properties>
</file>

<file path=customXml/itemProps1.xml><?xml version="1.0" encoding="utf-8"?>
<ds:datastoreItem xmlns:ds="http://schemas.openxmlformats.org/officeDocument/2006/customXml" ds:itemID="{00F1DA71-A8CF-4D21-AE9B-25681D4475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FF667-D0AC-4A7B-A54C-32A1220D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e40a5f-8deb-4f42-a318-2910d9ac14c4"/>
    <ds:schemaRef ds:uri="94897a4a-cc91-4e53-be7a-3cb06c46e1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02130B-7FA0-48FA-972F-7CA096C70EB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</vt:lpstr>
      <vt:lpstr>INVESTMENT</vt:lpstr>
      <vt:lpstr>REF</vt:lpstr>
      <vt:lpstr>Compounding</vt:lpstr>
      <vt:lpstr>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Don Laught Anak Albert Jingga</cp:lastModifiedBy>
  <dcterms:created xsi:type="dcterms:W3CDTF">2011-11-05T06:44:44Z</dcterms:created>
  <dcterms:modified xsi:type="dcterms:W3CDTF">2026-02-04T02:56:00Z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ensitivity">
    <vt:lpwstr>Restricted</vt:lpwstr>
  </property>
  <property fmtid="{D5CDD505-2E9C-101B-9397-08002B2CF9AE}" pid="3" name="ContentTypeId">
    <vt:lpwstr>0x010100D7361307566D794D944860B269E140A0</vt:lpwstr>
  </property>
</Properties>
</file>