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bad20d5f1cd79c07/Documents/Currant Trends/Entries/1 Tariff Response/"/>
    </mc:Choice>
  </mc:AlternateContent>
  <xr:revisionPtr revIDLastSave="316" documentId="8_{682037F3-F854-FF4A-9B87-DD8C4CBEF2A0}" xr6:coauthVersionLast="47" xr6:coauthVersionMax="47" xr10:uidLastSave="{E696B5B7-5E81-514E-B73A-ADD73A5B8702}"/>
  <bookViews>
    <workbookView xWindow="0" yWindow="500" windowWidth="28800" windowHeight="17500" activeTab="3" xr2:uid="{D608E61C-16ED-1F43-8723-85B8716471F9}"/>
  </bookViews>
  <sheets>
    <sheet name="P1 Pass through" sheetId="1" r:id="rId1"/>
    <sheet name="P2 Investment" sheetId="2" r:id="rId2"/>
    <sheet name="P3 Uncertainty" sheetId="3" r:id="rId3"/>
    <sheet name="P3 Formatted Results" sheetId="5" r:id="rId4"/>
    <sheet name="P3 Mathematica" sheetId="4" r:id="rId5"/>
  </sheets>
  <definedNames>
    <definedName name="solver_adj" localSheetId="0" hidden="1">'P1 Pass through'!$C$14</definedName>
    <definedName name="solver_adj" localSheetId="1" hidden="1">'P2 Investment'!$G$14</definedName>
    <definedName name="solver_adj" localSheetId="2" hidden="1">'P3 Uncertainty'!$G$14</definedName>
    <definedName name="solver_cvg" localSheetId="0" hidden="1">0.0001</definedName>
    <definedName name="solver_cvg" localSheetId="1" hidden="1">0.0001</definedName>
    <definedName name="solver_cvg" localSheetId="2" hidden="1">0.0001</definedName>
    <definedName name="solver_drv" localSheetId="0" hidden="1">1</definedName>
    <definedName name="solver_drv" localSheetId="1" hidden="1">1</definedName>
    <definedName name="solver_drv" localSheetId="2" hidden="1">1</definedName>
    <definedName name="solver_eng" localSheetId="0" hidden="1">1</definedName>
    <definedName name="solver_eng" localSheetId="1" hidden="1">1</definedName>
    <definedName name="solver_eng" localSheetId="2" hidden="1">1</definedName>
    <definedName name="solver_itr" localSheetId="0" hidden="1">2147483647</definedName>
    <definedName name="solver_itr" localSheetId="1" hidden="1">2147483647</definedName>
    <definedName name="solver_itr" localSheetId="2" hidden="1">2147483647</definedName>
    <definedName name="solver_lhs1" localSheetId="0" hidden="1">'P1 Pass through'!$C$14</definedName>
    <definedName name="solver_lhs1" localSheetId="1" hidden="1">'P2 Investment'!$G$14</definedName>
    <definedName name="solver_lhs1" localSheetId="2" hidden="1">'P3 Uncertainty'!$G$14</definedName>
    <definedName name="solver_lhs2" localSheetId="0" hidden="1">'P1 Pass through'!$C$14</definedName>
    <definedName name="solver_lhs2" localSheetId="1" hidden="1">'P2 Investment'!$G$14</definedName>
    <definedName name="solver_lhs2" localSheetId="2" hidden="1">'P3 Uncertainty'!$G$14</definedName>
    <definedName name="solver_lin" localSheetId="0" hidden="1">2</definedName>
    <definedName name="solver_lin" localSheetId="1" hidden="1">2</definedName>
    <definedName name="solver_lin" localSheetId="2" hidden="1">2</definedName>
    <definedName name="solver_mip" localSheetId="0" hidden="1">2147483647</definedName>
    <definedName name="solver_mip" localSheetId="1" hidden="1">2147483647</definedName>
    <definedName name="solver_mip" localSheetId="2" hidden="1">2147483647</definedName>
    <definedName name="solver_mni" localSheetId="0" hidden="1">30</definedName>
    <definedName name="solver_mni" localSheetId="1" hidden="1">30</definedName>
    <definedName name="solver_mni" localSheetId="2" hidden="1">30</definedName>
    <definedName name="solver_mrt" localSheetId="0" hidden="1">0.075</definedName>
    <definedName name="solver_mrt" localSheetId="1" hidden="1">0.075</definedName>
    <definedName name="solver_mrt" localSheetId="2" hidden="1">0.075</definedName>
    <definedName name="solver_msl" localSheetId="0" hidden="1">2</definedName>
    <definedName name="solver_msl" localSheetId="1" hidden="1">2</definedName>
    <definedName name="solver_msl" localSheetId="2" hidden="1">2</definedName>
    <definedName name="solver_neg" localSheetId="0" hidden="1">1</definedName>
    <definedName name="solver_neg" localSheetId="1" hidden="1">1</definedName>
    <definedName name="solver_neg" localSheetId="2" hidden="1">1</definedName>
    <definedName name="solver_nod" localSheetId="0" hidden="1">2147483647</definedName>
    <definedName name="solver_nod" localSheetId="1" hidden="1">2147483647</definedName>
    <definedName name="solver_nod" localSheetId="2" hidden="1">2147483647</definedName>
    <definedName name="solver_num" localSheetId="0" hidden="1">2</definedName>
    <definedName name="solver_num" localSheetId="1" hidden="1">2</definedName>
    <definedName name="solver_num" localSheetId="2" hidden="1">2</definedName>
    <definedName name="solver_opt" localSheetId="0" hidden="1">'P1 Pass through'!$E$8</definedName>
    <definedName name="solver_opt" localSheetId="1" hidden="1">'P2 Investment'!$G$8</definedName>
    <definedName name="solver_opt" localSheetId="2" hidden="1">'P3 Uncertainty'!$G$8</definedName>
    <definedName name="solver_pre" localSheetId="0" hidden="1">0.000001</definedName>
    <definedName name="solver_pre" localSheetId="1" hidden="1">0.000001</definedName>
    <definedName name="solver_pre" localSheetId="2" hidden="1">0.000001</definedName>
    <definedName name="solver_rbv" localSheetId="0" hidden="1">1</definedName>
    <definedName name="solver_rbv" localSheetId="1" hidden="1">1</definedName>
    <definedName name="solver_rbv" localSheetId="2" hidden="1">1</definedName>
    <definedName name="solver_rel1" localSheetId="0" hidden="1">1</definedName>
    <definedName name="solver_rel1" localSheetId="1" hidden="1">1</definedName>
    <definedName name="solver_rel1" localSheetId="2" hidden="1">1</definedName>
    <definedName name="solver_rel2" localSheetId="0" hidden="1">3</definedName>
    <definedName name="solver_rel2" localSheetId="1" hidden="1">3</definedName>
    <definedName name="solver_rel2" localSheetId="2" hidden="1">3</definedName>
    <definedName name="solver_rhs1" localSheetId="0" hidden="1">1</definedName>
    <definedName name="solver_rhs1" localSheetId="1" hidden="1">1</definedName>
    <definedName name="solver_rhs1" localSheetId="2" hidden="1">1</definedName>
    <definedName name="solver_rhs2" localSheetId="0" hidden="1">0</definedName>
    <definedName name="solver_rhs2" localSheetId="1" hidden="1">0</definedName>
    <definedName name="solver_rhs2" localSheetId="2" hidden="1">0</definedName>
    <definedName name="solver_rlx" localSheetId="0" hidden="1">2</definedName>
    <definedName name="solver_rlx" localSheetId="1" hidden="1">2</definedName>
    <definedName name="solver_rlx" localSheetId="2" hidden="1">2</definedName>
    <definedName name="solver_rsd" localSheetId="0" hidden="1">0</definedName>
    <definedName name="solver_rsd" localSheetId="1" hidden="1">0</definedName>
    <definedName name="solver_rsd" localSheetId="2" hidden="1">0</definedName>
    <definedName name="solver_scl" localSheetId="0" hidden="1">1</definedName>
    <definedName name="solver_scl" localSheetId="1" hidden="1">1</definedName>
    <definedName name="solver_scl" localSheetId="2" hidden="1">1</definedName>
    <definedName name="solver_sho" localSheetId="0" hidden="1">2</definedName>
    <definedName name="solver_sho" localSheetId="1" hidden="1">2</definedName>
    <definedName name="solver_sho" localSheetId="2" hidden="1">2</definedName>
    <definedName name="solver_ssz" localSheetId="0" hidden="1">100</definedName>
    <definedName name="solver_ssz" localSheetId="1" hidden="1">100</definedName>
    <definedName name="solver_ssz" localSheetId="2" hidden="1">100</definedName>
    <definedName name="solver_tim" localSheetId="0" hidden="1">2147483647</definedName>
    <definedName name="solver_tim" localSheetId="1" hidden="1">2147483647</definedName>
    <definedName name="solver_tim" localSheetId="2" hidden="1">2147483647</definedName>
    <definedName name="solver_tol" localSheetId="0" hidden="1">0.01</definedName>
    <definedName name="solver_tol" localSheetId="1" hidden="1">0.01</definedName>
    <definedName name="solver_tol" localSheetId="2" hidden="1">0.01</definedName>
    <definedName name="solver_typ" localSheetId="0" hidden="1">1</definedName>
    <definedName name="solver_typ" localSheetId="1" hidden="1">1</definedName>
    <definedName name="solver_typ" localSheetId="2" hidden="1">1</definedName>
    <definedName name="solver_val" localSheetId="0" hidden="1">0</definedName>
    <definedName name="solver_val" localSheetId="1" hidden="1">0</definedName>
    <definedName name="solver_val" localSheetId="2" hidden="1">0</definedName>
    <definedName name="solver_ver" localSheetId="0" hidden="1">2</definedName>
    <definedName name="solver_ver" localSheetId="1" hidden="1">2</definedName>
    <definedName name="solver_ver" localSheetId="2" hidden="1">2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5" i="5" l="1"/>
  <c r="J35" i="5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17" i="3"/>
  <c r="O18" i="3"/>
  <c r="O19" i="3" s="1"/>
  <c r="O20" i="3" s="1"/>
  <c r="O21" i="3" s="1"/>
  <c r="O22" i="3" s="1"/>
  <c r="O23" i="3" s="1"/>
  <c r="O24" i="3" s="1"/>
  <c r="O25" i="3" s="1"/>
  <c r="O26" i="3" s="1"/>
  <c r="O27" i="3" s="1"/>
  <c r="O28" i="3" s="1"/>
  <c r="O29" i="3" s="1"/>
  <c r="O30" i="3" s="1"/>
  <c r="O31" i="3" s="1"/>
  <c r="O32" i="3" s="1"/>
  <c r="O33" i="3" s="1"/>
  <c r="O34" i="3" s="1"/>
  <c r="O35" i="3" s="1"/>
  <c r="O36" i="3" s="1"/>
  <c r="O37" i="3" s="1"/>
  <c r="O38" i="3" s="1"/>
  <c r="O39" i="3" s="1"/>
  <c r="O40" i="3" s="1"/>
  <c r="O41" i="3" s="1"/>
  <c r="O42" i="3" s="1"/>
  <c r="O43" i="3" s="1"/>
  <c r="O44" i="3" s="1"/>
  <c r="O45" i="3" s="1"/>
  <c r="O46" i="3" s="1"/>
  <c r="L18" i="3"/>
  <c r="L19" i="3" s="1"/>
  <c r="L20" i="3" s="1"/>
  <c r="L21" i="3" s="1"/>
  <c r="L22" i="3" s="1"/>
  <c r="L23" i="3" s="1"/>
  <c r="L24" i="3" s="1"/>
  <c r="L25" i="3" s="1"/>
  <c r="L26" i="3" s="1"/>
  <c r="L27" i="3" s="1"/>
  <c r="L28" i="3" s="1"/>
  <c r="L29" i="3" s="1"/>
  <c r="L30" i="3" s="1"/>
  <c r="L31" i="3" s="1"/>
  <c r="L32" i="3" s="1"/>
  <c r="L33" i="3" s="1"/>
  <c r="L34" i="3" s="1"/>
  <c r="L35" i="3" s="1"/>
  <c r="L36" i="3" s="1"/>
  <c r="L37" i="3" s="1"/>
  <c r="L38" i="3" s="1"/>
  <c r="L39" i="3" s="1"/>
  <c r="L40" i="3" s="1"/>
  <c r="L41" i="3" s="1"/>
  <c r="L42" i="3" s="1"/>
  <c r="L43" i="3" s="1"/>
  <c r="L44" i="3" s="1"/>
  <c r="L45" i="3" s="1"/>
  <c r="L46" i="3" s="1"/>
  <c r="G14" i="3"/>
  <c r="E14" i="3"/>
  <c r="G2" i="1"/>
  <c r="I19" i="3"/>
  <c r="I20" i="3"/>
  <c r="I21" i="3" s="1"/>
  <c r="I22" i="3" s="1"/>
  <c r="I23" i="3" s="1"/>
  <c r="I24" i="3" s="1"/>
  <c r="I25" i="3" s="1"/>
  <c r="I26" i="3" s="1"/>
  <c r="I27" i="3" s="1"/>
  <c r="I28" i="3" s="1"/>
  <c r="I29" i="3" s="1"/>
  <c r="I30" i="3" s="1"/>
  <c r="I31" i="3" s="1"/>
  <c r="I32" i="3" s="1"/>
  <c r="I33" i="3" s="1"/>
  <c r="I34" i="3" s="1"/>
  <c r="I35" i="3" s="1"/>
  <c r="I36" i="3" s="1"/>
  <c r="I37" i="3" s="1"/>
  <c r="I38" i="3" s="1"/>
  <c r="I39" i="3" s="1"/>
  <c r="I40" i="3" s="1"/>
  <c r="I41" i="3" s="1"/>
  <c r="I42" i="3" s="1"/>
  <c r="I43" i="3" s="1"/>
  <c r="I44" i="3" s="1"/>
  <c r="I45" i="3" s="1"/>
  <c r="I46" i="3" s="1"/>
  <c r="I18" i="3"/>
  <c r="G16" i="3"/>
  <c r="E16" i="3"/>
  <c r="O10" i="3"/>
  <c r="N10" i="3"/>
  <c r="M10" i="3"/>
  <c r="L10" i="3"/>
  <c r="K10" i="3"/>
  <c r="J10" i="3"/>
  <c r="J9" i="3"/>
  <c r="J11" i="3" s="1"/>
  <c r="C7" i="3"/>
  <c r="C6" i="3"/>
  <c r="K10" i="2"/>
  <c r="L10" i="2"/>
  <c r="M10" i="2"/>
  <c r="N10" i="2"/>
  <c r="O10" i="2"/>
  <c r="J10" i="2"/>
  <c r="J9" i="2"/>
  <c r="J11" i="2" s="1"/>
  <c r="G16" i="2"/>
  <c r="G4" i="2" s="1"/>
  <c r="E16" i="2"/>
  <c r="E17" i="2" s="1"/>
  <c r="C7" i="2"/>
  <c r="C8" i="2" s="1"/>
  <c r="C6" i="2"/>
  <c r="C16" i="1"/>
  <c r="E4" i="1" s="1"/>
  <c r="C7" i="1"/>
  <c r="C6" i="1"/>
  <c r="G17" i="2" l="1"/>
  <c r="G18" i="2" s="1"/>
  <c r="G19" i="2" s="1"/>
  <c r="G2" i="2" s="1"/>
  <c r="G17" i="3"/>
  <c r="G4" i="3"/>
  <c r="C8" i="3"/>
  <c r="E4" i="3"/>
  <c r="E18" i="2"/>
  <c r="E19" i="2" s="1"/>
  <c r="E2" i="2" s="1"/>
  <c r="E3" i="2"/>
  <c r="E4" i="2"/>
  <c r="C8" i="1"/>
  <c r="C17" i="1"/>
  <c r="G3" i="2" l="1"/>
  <c r="G18" i="3"/>
  <c r="G19" i="3" s="1"/>
  <c r="G2" i="3" s="1"/>
  <c r="G7" i="3" s="1"/>
  <c r="G3" i="3"/>
  <c r="G7" i="2"/>
  <c r="G6" i="2"/>
  <c r="E6" i="2"/>
  <c r="E7" i="2"/>
  <c r="C18" i="1"/>
  <c r="C19" i="1" s="1"/>
  <c r="E2" i="1" s="1"/>
  <c r="E3" i="1"/>
  <c r="G8" i="2" l="1"/>
  <c r="E8" i="2"/>
  <c r="E6" i="1"/>
  <c r="E7" i="1"/>
  <c r="K3" i="2" l="1"/>
  <c r="O9" i="2" s="1"/>
  <c r="O11" i="2" s="1"/>
  <c r="E8" i="1"/>
  <c r="N9" i="2" l="1"/>
  <c r="N11" i="2" s="1"/>
  <c r="K9" i="2"/>
  <c r="K11" i="2" s="1"/>
  <c r="M9" i="2"/>
  <c r="M11" i="2" s="1"/>
  <c r="L9" i="2"/>
  <c r="L11" i="2" s="1"/>
  <c r="G6" i="3"/>
  <c r="G8" i="3" s="1"/>
  <c r="E17" i="3"/>
  <c r="E18" i="3" s="1"/>
  <c r="E19" i="3" s="1"/>
  <c r="J13" i="2" l="1"/>
  <c r="E2" i="3"/>
  <c r="E3" i="3"/>
  <c r="E7" i="3" l="1"/>
  <c r="M16" i="3"/>
  <c r="E6" i="3"/>
  <c r="E8" i="3" l="1"/>
  <c r="K3" i="3" s="1"/>
  <c r="K9" i="3" s="1"/>
  <c r="K11" i="3" l="1"/>
  <c r="K2" i="3"/>
  <c r="M9" i="3"/>
  <c r="M11" i="3" s="1"/>
  <c r="L9" i="3"/>
  <c r="L11" i="3" s="1"/>
  <c r="O9" i="3"/>
  <c r="O11" i="3" s="1"/>
  <c r="N9" i="3"/>
  <c r="N11" i="3" s="1"/>
  <c r="J14" i="3" l="1"/>
  <c r="P16" i="3" s="1"/>
  <c r="J13" i="3"/>
  <c r="J16" i="3" s="1"/>
</calcChain>
</file>

<file path=xl/sharedStrings.xml><?xml version="1.0" encoding="utf-8"?>
<sst xmlns="http://schemas.openxmlformats.org/spreadsheetml/2006/main" count="98" uniqueCount="47">
  <si>
    <t>Revenue</t>
  </si>
  <si>
    <t>Net</t>
  </si>
  <si>
    <t>E_d</t>
  </si>
  <si>
    <t>Tariff</t>
  </si>
  <si>
    <t>Investment</t>
  </si>
  <si>
    <t>Units</t>
  </si>
  <si>
    <t>Before</t>
  </si>
  <si>
    <t>After</t>
  </si>
  <si>
    <t>Pass through</t>
  </si>
  <si>
    <t>Cost</t>
  </si>
  <si>
    <t>% Change in Price</t>
  </si>
  <si>
    <t>% Change of Units Sold</t>
  </si>
  <si>
    <t>Price per Unit</t>
  </si>
  <si>
    <t>Cost per Unit</t>
  </si>
  <si>
    <t>Change in Cost per unit</t>
  </si>
  <si>
    <t>Change in Price per unit</t>
  </si>
  <si>
    <t>Tariff % * Cost per unit</t>
  </si>
  <si>
    <t>Change in cost * passthrough</t>
  </si>
  <si>
    <t>Change in price / price</t>
  </si>
  <si>
    <t>% Chang in price * E_d</t>
  </si>
  <si>
    <t>Cost increase</t>
  </si>
  <si>
    <t>Shift - After Net</t>
  </si>
  <si>
    <t>Cost of Capital</t>
  </si>
  <si>
    <t>Lifespan</t>
  </si>
  <si>
    <t>yrs</t>
  </si>
  <si>
    <t>Year 0</t>
  </si>
  <si>
    <t>Year 1</t>
  </si>
  <si>
    <t>Year 2</t>
  </si>
  <si>
    <t>Year 3</t>
  </si>
  <si>
    <t>Year 4</t>
  </si>
  <si>
    <t>Year 5</t>
  </si>
  <si>
    <t>Cash Flow</t>
  </si>
  <si>
    <t>Discount Factor</t>
  </si>
  <si>
    <t>DCF</t>
  </si>
  <si>
    <t>Total DCF</t>
  </si>
  <si>
    <t>After Tariff</t>
  </si>
  <si>
    <t>Shifted Production</t>
  </si>
  <si>
    <t>Tariff Min</t>
  </si>
  <si>
    <t>Tariff Max</t>
  </si>
  <si>
    <t>Units - After Tariff</t>
  </si>
  <si>
    <t>https://www.wolframcloud.com/env/17eb1ae6-fe15-4394-8824-6a1460ef15c6</t>
  </si>
  <si>
    <t>DCF option</t>
  </si>
  <si>
    <t>DCF - Option</t>
  </si>
  <si>
    <t>Tariff Amount</t>
  </si>
  <si>
    <t>DCF before investment</t>
  </si>
  <si>
    <t>DCF less Investment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</si>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</sst>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3" formatCode="_(* #,##0.00_);_(* \(#,##0.00\);_(* &quot;-&quot;??_);_(@_)"/>
    <numFmt numFmtId="168" formatCode="_(* #,##0_);_(* \(#,##0\);_(* &quot;-&quot;??_);_(@_)"/>
  </numFmts>
  <fonts count="4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8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7">
    <xf numFmtId="0" fontId="0" fillId="0" borderId="0" xfId="0"/>
    <xf numFmtId="3" fontId="0" fillId="0" borderId="0" xfId="0" applyNumberFormat="1"/>
    <xf numFmtId="9" fontId="0" fillId="0" borderId="0" xfId="0" applyNumberFormat="1"/>
    <xf numFmtId="43" fontId="0" fillId="0" borderId="0" xfId="1" applyFont="1"/>
    <xf numFmtId="168" fontId="0" fillId="0" borderId="0" xfId="1" applyNumberFormat="1" applyFont="1"/>
    <xf numFmtId="168" fontId="0" fillId="0" borderId="0" xfId="0" applyNumberFormat="1"/>
    <xf numFmtId="9" fontId="0" fillId="0" borderId="0" xfId="2" applyFont="1"/>
    <xf numFmtId="10" fontId="0" fillId="0" borderId="0" xfId="2" applyNumberFormat="1" applyFont="1"/>
    <xf numFmtId="0" fontId="0" fillId="0" borderId="0" xfId="0" applyAlignment="1">
      <alignment horizontal="center"/>
    </xf>
    <xf numFmtId="0" fontId="0" fillId="0" borderId="1" xfId="0" applyBorder="1"/>
    <xf numFmtId="3" fontId="0" fillId="0" borderId="1" xfId="0" applyNumberFormat="1" applyBorder="1"/>
    <xf numFmtId="0" fontId="2" fillId="0" borderId="0" xfId="0" applyFont="1" applyAlignment="1">
      <alignment horizontal="center"/>
    </xf>
    <xf numFmtId="0" fontId="2" fillId="0" borderId="0" xfId="0" applyFont="1"/>
    <xf numFmtId="43" fontId="0" fillId="0" borderId="0" xfId="0" applyNumberFormat="1"/>
    <xf numFmtId="8" fontId="0" fillId="0" borderId="0" xfId="0" applyNumberFormat="1"/>
    <xf numFmtId="10" fontId="0" fillId="0" borderId="0" xfId="0" applyNumberFormat="1"/>
    <xf numFmtId="0" fontId="2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457200</xdr:colOff>
      <xdr:row>3</xdr:row>
      <xdr:rowOff>127000</xdr:rowOff>
    </xdr:from>
    <xdr:to>
      <xdr:col>13</xdr:col>
      <xdr:colOff>381000</xdr:colOff>
      <xdr:row>7</xdr:row>
      <xdr:rowOff>12700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05E3638-BA56-2E1D-4B96-B80DC1E99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0500" y="736600"/>
          <a:ext cx="2400300" cy="698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749300</xdr:colOff>
      <xdr:row>5</xdr:row>
      <xdr:rowOff>177800</xdr:rowOff>
    </xdr:from>
    <xdr:to>
      <xdr:col>18</xdr:col>
      <xdr:colOff>673100</xdr:colOff>
      <xdr:row>9</xdr:row>
      <xdr:rowOff>63500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DF14F3-014C-324A-9C40-C93F58FC7B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312900" y="1193800"/>
          <a:ext cx="2400300" cy="698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9</xdr:col>
      <xdr:colOff>342900</xdr:colOff>
      <xdr:row>7</xdr:row>
      <xdr:rowOff>152706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AD2D65-853E-CEAA-35A1-C815EF277D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772400" cy="15751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F4F582-2A97-BF4A-949B-9C03CE7D1050}">
  <dimension ref="B1:H22"/>
  <sheetViews>
    <sheetView workbookViewId="0">
      <selection activeCell="J14" sqref="J14"/>
    </sheetView>
  </sheetViews>
  <sheetFormatPr baseColWidth="10" defaultRowHeight="16" x14ac:dyDescent="0.2"/>
  <cols>
    <col min="1" max="1" width="4.83203125" customWidth="1"/>
    <col min="2" max="2" width="20" bestFit="1" customWidth="1"/>
    <col min="5" max="5" width="12.5" bestFit="1" customWidth="1"/>
  </cols>
  <sheetData>
    <row r="1" spans="2:8" x14ac:dyDescent="0.2">
      <c r="C1" s="11" t="s">
        <v>6</v>
      </c>
      <c r="D1" s="8"/>
      <c r="E1" s="11" t="s">
        <v>7</v>
      </c>
    </row>
    <row r="2" spans="2:8" x14ac:dyDescent="0.2">
      <c r="B2" t="s">
        <v>5</v>
      </c>
      <c r="C2" s="1">
        <v>250000</v>
      </c>
      <c r="D2" s="1"/>
      <c r="E2" s="1">
        <f>C2*(1+C19)</f>
        <v>226785.71619921637</v>
      </c>
      <c r="G2">
        <f>(C4*C10*-1-C3+C10*C3-C4*C10*C12)/(2*C4*-1*C10*C12)</f>
        <v>0.3421052631578953</v>
      </c>
      <c r="H2" s="1"/>
    </row>
    <row r="3" spans="2:8" x14ac:dyDescent="0.2">
      <c r="B3" t="s">
        <v>12</v>
      </c>
      <c r="C3" s="3">
        <v>7</v>
      </c>
      <c r="D3" s="3"/>
      <c r="E3" s="3">
        <f>C3+C17</f>
        <v>7.1710526174794582</v>
      </c>
      <c r="G3" s="13"/>
    </row>
    <row r="4" spans="2:8" x14ac:dyDescent="0.2">
      <c r="B4" t="s">
        <v>13</v>
      </c>
      <c r="C4" s="3">
        <v>5</v>
      </c>
      <c r="D4" s="3"/>
      <c r="E4" s="3">
        <f>C4+C16</f>
        <v>5.5</v>
      </c>
    </row>
    <row r="5" spans="2:8" x14ac:dyDescent="0.2">
      <c r="C5" s="3"/>
      <c r="D5" s="3"/>
      <c r="E5" s="3"/>
    </row>
    <row r="6" spans="2:8" x14ac:dyDescent="0.2">
      <c r="B6" t="s">
        <v>0</v>
      </c>
      <c r="C6" s="1">
        <f>C2*C3</f>
        <v>1750000</v>
      </c>
      <c r="D6" s="1"/>
      <c r="E6" s="1">
        <f>E2*E3</f>
        <v>1626292.3037573441</v>
      </c>
    </row>
    <row r="7" spans="2:8" x14ac:dyDescent="0.2">
      <c r="B7" s="9" t="s">
        <v>9</v>
      </c>
      <c r="C7" s="10">
        <f>C2*C4</f>
        <v>1250000</v>
      </c>
      <c r="D7" s="1"/>
      <c r="E7" s="10">
        <f>E2*E4</f>
        <v>1247321.4390956901</v>
      </c>
    </row>
    <row r="8" spans="2:8" x14ac:dyDescent="0.2">
      <c r="B8" t="s">
        <v>1</v>
      </c>
      <c r="C8" s="1">
        <f>C6-C7</f>
        <v>500000</v>
      </c>
      <c r="D8" s="1"/>
      <c r="E8" s="1">
        <f>E6-E7</f>
        <v>378970.86466165399</v>
      </c>
    </row>
    <row r="10" spans="2:8" x14ac:dyDescent="0.2">
      <c r="B10" t="s">
        <v>2</v>
      </c>
      <c r="C10">
        <v>3.8</v>
      </c>
    </row>
    <row r="12" spans="2:8" x14ac:dyDescent="0.2">
      <c r="B12" t="s">
        <v>3</v>
      </c>
      <c r="C12" s="2">
        <v>0.1</v>
      </c>
      <c r="D12" s="2"/>
    </row>
    <row r="14" spans="2:8" x14ac:dyDescent="0.2">
      <c r="B14" t="s">
        <v>8</v>
      </c>
      <c r="C14" s="2">
        <v>0.34210523495891659</v>
      </c>
      <c r="D14" s="2"/>
    </row>
    <row r="16" spans="2:8" x14ac:dyDescent="0.2">
      <c r="B16" t="s">
        <v>14</v>
      </c>
      <c r="C16">
        <f>C4*C12</f>
        <v>0.5</v>
      </c>
      <c r="D16" t="s">
        <v>16</v>
      </c>
    </row>
    <row r="17" spans="2:4" x14ac:dyDescent="0.2">
      <c r="B17" t="s">
        <v>15</v>
      </c>
      <c r="C17" s="3">
        <f>C16*C14</f>
        <v>0.1710526174794583</v>
      </c>
      <c r="D17" t="s">
        <v>17</v>
      </c>
    </row>
    <row r="18" spans="2:4" x14ac:dyDescent="0.2">
      <c r="B18" t="s">
        <v>10</v>
      </c>
      <c r="C18" s="7">
        <f>C17/C3</f>
        <v>2.4436088211351185E-2</v>
      </c>
      <c r="D18" s="7" t="s">
        <v>18</v>
      </c>
    </row>
    <row r="19" spans="2:4" x14ac:dyDescent="0.2">
      <c r="B19" t="s">
        <v>11</v>
      </c>
      <c r="C19" s="7">
        <f>C10*C18*-1</f>
        <v>-9.2857135203134503E-2</v>
      </c>
      <c r="D19" s="7" t="s">
        <v>19</v>
      </c>
    </row>
    <row r="21" spans="2:4" x14ac:dyDescent="0.2">
      <c r="C21" s="2"/>
      <c r="D21" s="2"/>
    </row>
    <row r="22" spans="2:4" x14ac:dyDescent="0.2">
      <c r="C22" s="2"/>
      <c r="D22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C50D0-DF8A-8C47-95DB-482D0D948823}">
  <dimension ref="B1:O22"/>
  <sheetViews>
    <sheetView workbookViewId="0">
      <selection activeCell="J18" sqref="J18"/>
    </sheetView>
  </sheetViews>
  <sheetFormatPr baseColWidth="10" defaultRowHeight="16" x14ac:dyDescent="0.2"/>
  <cols>
    <col min="1" max="1" width="4.83203125" customWidth="1"/>
    <col min="2" max="2" width="20" bestFit="1" customWidth="1"/>
    <col min="3" max="4" width="10.83203125" customWidth="1"/>
    <col min="5" max="5" width="12.5" customWidth="1"/>
    <col min="6" max="6" width="12.83203125" customWidth="1"/>
    <col min="9" max="9" width="14.1640625" bestFit="1" customWidth="1"/>
    <col min="10" max="10" width="12.1640625" bestFit="1" customWidth="1"/>
    <col min="11" max="15" width="11.1640625" bestFit="1" customWidth="1"/>
  </cols>
  <sheetData>
    <row r="1" spans="2:15" x14ac:dyDescent="0.2">
      <c r="C1" s="11" t="s">
        <v>6</v>
      </c>
      <c r="D1" s="8"/>
      <c r="E1" s="11" t="s">
        <v>35</v>
      </c>
      <c r="G1" s="11" t="s">
        <v>36</v>
      </c>
    </row>
    <row r="2" spans="2:15" x14ac:dyDescent="0.2">
      <c r="B2" t="s">
        <v>5</v>
      </c>
      <c r="C2" s="1">
        <v>250000</v>
      </c>
      <c r="D2" s="1"/>
      <c r="E2" s="1">
        <f>C2*(1+E19)</f>
        <v>226928.57142857142</v>
      </c>
      <c r="G2" s="1">
        <f>C2*(1+G19)</f>
        <v>243750.00038367117</v>
      </c>
    </row>
    <row r="3" spans="2:15" x14ac:dyDescent="0.2">
      <c r="B3" t="s">
        <v>12</v>
      </c>
      <c r="C3" s="3">
        <v>7</v>
      </c>
      <c r="D3" s="3"/>
      <c r="E3" s="3">
        <f>C3+E17</f>
        <v>7.17</v>
      </c>
      <c r="G3" s="3">
        <f>C3+G17</f>
        <v>7.0460526287518963</v>
      </c>
      <c r="J3" t="s">
        <v>21</v>
      </c>
      <c r="K3" s="1">
        <f>G8-E8</f>
        <v>58817.114661654225</v>
      </c>
    </row>
    <row r="4" spans="2:15" x14ac:dyDescent="0.2">
      <c r="B4" t="s">
        <v>13</v>
      </c>
      <c r="C4" s="3">
        <v>5</v>
      </c>
      <c r="D4" s="3"/>
      <c r="E4" s="3">
        <f>C4+E16</f>
        <v>5.5</v>
      </c>
      <c r="G4" s="3">
        <f>C4+G16</f>
        <v>5.25</v>
      </c>
    </row>
    <row r="5" spans="2:15" x14ac:dyDescent="0.2">
      <c r="C5" s="3"/>
      <c r="D5" s="3"/>
      <c r="E5" s="3"/>
      <c r="G5" s="3"/>
      <c r="J5" t="s">
        <v>4</v>
      </c>
      <c r="K5" s="1">
        <v>150000</v>
      </c>
    </row>
    <row r="6" spans="2:15" x14ac:dyDescent="0.2">
      <c r="B6" t="s">
        <v>0</v>
      </c>
      <c r="C6" s="1">
        <f>C2*C3</f>
        <v>1750000</v>
      </c>
      <c r="D6" s="1"/>
      <c r="E6" s="1">
        <f>E2*E3</f>
        <v>1627077.857142857</v>
      </c>
      <c r="G6" s="1">
        <f>G2*G3</f>
        <v>1717475.3309616421</v>
      </c>
    </row>
    <row r="7" spans="2:15" x14ac:dyDescent="0.2">
      <c r="B7" s="9" t="s">
        <v>9</v>
      </c>
      <c r="C7" s="10">
        <f>C2*C4</f>
        <v>1250000</v>
      </c>
      <c r="D7" s="1"/>
      <c r="E7" s="10">
        <f>E2*E4</f>
        <v>1248107.1428571427</v>
      </c>
      <c r="G7" s="10">
        <f>G2*G4</f>
        <v>1279687.5020142735</v>
      </c>
      <c r="J7">
        <v>0</v>
      </c>
      <c r="K7">
        <v>1</v>
      </c>
      <c r="L7">
        <v>2</v>
      </c>
      <c r="M7">
        <v>3</v>
      </c>
      <c r="N7">
        <v>4</v>
      </c>
      <c r="O7">
        <v>5</v>
      </c>
    </row>
    <row r="8" spans="2:15" x14ac:dyDescent="0.2">
      <c r="B8" t="s">
        <v>1</v>
      </c>
      <c r="C8" s="1">
        <f>C6-C7</f>
        <v>500000</v>
      </c>
      <c r="D8" s="1"/>
      <c r="E8" s="1">
        <f>E6-E7</f>
        <v>378970.71428571432</v>
      </c>
      <c r="G8" s="1">
        <f>G6-G7</f>
        <v>437787.82894736854</v>
      </c>
      <c r="J8" s="11" t="s">
        <v>25</v>
      </c>
      <c r="K8" s="11" t="s">
        <v>26</v>
      </c>
      <c r="L8" s="11" t="s">
        <v>27</v>
      </c>
      <c r="M8" s="11" t="s">
        <v>28</v>
      </c>
      <c r="N8" s="11" t="s">
        <v>29</v>
      </c>
      <c r="O8" s="11" t="s">
        <v>30</v>
      </c>
    </row>
    <row r="9" spans="2:15" x14ac:dyDescent="0.2">
      <c r="I9" s="12" t="s">
        <v>31</v>
      </c>
      <c r="J9" s="4">
        <f>K5*-1</f>
        <v>-150000</v>
      </c>
      <c r="K9" s="4">
        <f>$K$3</f>
        <v>58817.114661654225</v>
      </c>
      <c r="L9" s="4">
        <f t="shared" ref="L9:O9" si="0">$K$3</f>
        <v>58817.114661654225</v>
      </c>
      <c r="M9" s="4">
        <f t="shared" si="0"/>
        <v>58817.114661654225</v>
      </c>
      <c r="N9" s="4">
        <f t="shared" si="0"/>
        <v>58817.114661654225</v>
      </c>
      <c r="O9" s="4">
        <f t="shared" si="0"/>
        <v>58817.114661654225</v>
      </c>
    </row>
    <row r="10" spans="2:15" x14ac:dyDescent="0.2">
      <c r="B10" t="s">
        <v>2</v>
      </c>
      <c r="C10">
        <v>3.8</v>
      </c>
      <c r="I10" s="12" t="s">
        <v>32</v>
      </c>
      <c r="J10" s="3">
        <f>1/(1+$C$21)^J7</f>
        <v>1</v>
      </c>
      <c r="K10" s="3">
        <f t="shared" ref="K10:O10" si="1">1/(1+$C$21)^K7</f>
        <v>0.9174311926605504</v>
      </c>
      <c r="L10" s="3">
        <f t="shared" si="1"/>
        <v>0.84167999326655996</v>
      </c>
      <c r="M10" s="3">
        <f t="shared" si="1"/>
        <v>0.77218348006106419</v>
      </c>
      <c r="N10" s="3">
        <f t="shared" si="1"/>
        <v>0.7084252110651964</v>
      </c>
      <c r="O10" s="3">
        <f t="shared" si="1"/>
        <v>0.64993138629834524</v>
      </c>
    </row>
    <row r="11" spans="2:15" x14ac:dyDescent="0.2">
      <c r="I11" s="12" t="s">
        <v>33</v>
      </c>
      <c r="J11" s="4">
        <f>J9*J10</f>
        <v>-150000</v>
      </c>
      <c r="K11" s="4">
        <f t="shared" ref="K11:O11" si="2">K9*K10</f>
        <v>53960.65565289378</v>
      </c>
      <c r="L11" s="4">
        <f t="shared" si="2"/>
        <v>49505.188672379612</v>
      </c>
      <c r="M11" s="4">
        <f t="shared" si="2"/>
        <v>45417.6042865868</v>
      </c>
      <c r="N11" s="4">
        <f t="shared" si="2"/>
        <v>41667.526868428249</v>
      </c>
      <c r="O11" s="4">
        <f t="shared" si="2"/>
        <v>38227.088870117659</v>
      </c>
    </row>
    <row r="12" spans="2:15" x14ac:dyDescent="0.2">
      <c r="B12" t="s">
        <v>3</v>
      </c>
      <c r="C12" s="2">
        <v>0.1</v>
      </c>
      <c r="D12" s="2"/>
      <c r="F12" t="s">
        <v>20</v>
      </c>
      <c r="G12" s="2">
        <v>0.05</v>
      </c>
      <c r="I12" s="12"/>
      <c r="J12" s="5"/>
      <c r="K12" s="5"/>
      <c r="L12" s="5"/>
      <c r="M12" s="5"/>
      <c r="N12" s="5"/>
      <c r="O12" s="5"/>
    </row>
    <row r="13" spans="2:15" x14ac:dyDescent="0.2">
      <c r="I13" s="12" t="s">
        <v>34</v>
      </c>
      <c r="J13" s="5">
        <f>SUM(J11:O11)</f>
        <v>78778.064350406101</v>
      </c>
      <c r="K13" s="5"/>
      <c r="L13" s="5"/>
      <c r="M13" s="5"/>
      <c r="N13" s="5"/>
      <c r="O13" s="5"/>
    </row>
    <row r="14" spans="2:15" x14ac:dyDescent="0.2">
      <c r="B14" t="s">
        <v>8</v>
      </c>
      <c r="D14" s="2"/>
      <c r="E14" s="2">
        <v>0.34</v>
      </c>
      <c r="G14" s="2">
        <v>0.18421051500758634</v>
      </c>
      <c r="J14" s="5"/>
      <c r="K14" s="5"/>
      <c r="L14" s="5"/>
      <c r="M14" s="5"/>
      <c r="N14" s="5"/>
      <c r="O14" s="5"/>
    </row>
    <row r="15" spans="2:15" x14ac:dyDescent="0.2">
      <c r="E15" s="14"/>
    </row>
    <row r="16" spans="2:15" x14ac:dyDescent="0.2">
      <c r="B16" t="s">
        <v>14</v>
      </c>
      <c r="E16">
        <f>C4*C12</f>
        <v>0.5</v>
      </c>
      <c r="G16" s="13">
        <f>C4*G12</f>
        <v>0.25</v>
      </c>
    </row>
    <row r="17" spans="2:7" x14ac:dyDescent="0.2">
      <c r="B17" t="s">
        <v>15</v>
      </c>
      <c r="E17" s="3">
        <f>E16*E14</f>
        <v>0.17</v>
      </c>
      <c r="G17" s="3">
        <f>G16*G14</f>
        <v>4.6052628751896585E-2</v>
      </c>
    </row>
    <row r="18" spans="2:7" x14ac:dyDescent="0.2">
      <c r="B18" t="s">
        <v>10</v>
      </c>
      <c r="E18" s="7">
        <f>E17/C3</f>
        <v>2.4285714285714289E-2</v>
      </c>
      <c r="F18" s="7"/>
      <c r="G18" s="7">
        <f>G17/C3</f>
        <v>6.5789469645566546E-3</v>
      </c>
    </row>
    <row r="19" spans="2:7" x14ac:dyDescent="0.2">
      <c r="B19" t="s">
        <v>11</v>
      </c>
      <c r="E19" s="7">
        <f>C10*E18*-1</f>
        <v>-9.228571428571429E-2</v>
      </c>
      <c r="F19" s="7"/>
      <c r="G19" s="7">
        <f>C10*G18*-1</f>
        <v>-2.4999998465315285E-2</v>
      </c>
    </row>
    <row r="21" spans="2:7" x14ac:dyDescent="0.2">
      <c r="B21" t="s">
        <v>22</v>
      </c>
      <c r="C21" s="2">
        <v>0.09</v>
      </c>
      <c r="D21" s="2"/>
    </row>
    <row r="22" spans="2:7" x14ac:dyDescent="0.2">
      <c r="B22" t="s">
        <v>23</v>
      </c>
      <c r="C22" s="3">
        <v>5</v>
      </c>
      <c r="D22" s="2" t="s">
        <v>24</v>
      </c>
    </row>
  </sheetData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D8860-1F2C-1E48-911F-EBB1D23EC278}">
  <dimension ref="B1:Q46"/>
  <sheetViews>
    <sheetView workbookViewId="0">
      <selection activeCell="I15" sqref="I15:Q46"/>
    </sheetView>
  </sheetViews>
  <sheetFormatPr baseColWidth="10" defaultRowHeight="16" x14ac:dyDescent="0.2"/>
  <cols>
    <col min="1" max="1" width="4.83203125" customWidth="1"/>
    <col min="2" max="2" width="20" bestFit="1" customWidth="1"/>
    <col min="3" max="4" width="10.83203125" customWidth="1"/>
    <col min="5" max="5" width="12.5" customWidth="1"/>
    <col min="6" max="6" width="12.83203125" customWidth="1"/>
    <col min="9" max="9" width="14.1640625" bestFit="1" customWidth="1"/>
    <col min="10" max="10" width="14.5" customWidth="1"/>
    <col min="11" max="15" width="11.1640625" bestFit="1" customWidth="1"/>
  </cols>
  <sheetData>
    <row r="1" spans="2:16" x14ac:dyDescent="0.2">
      <c r="C1" s="11" t="s">
        <v>6</v>
      </c>
      <c r="D1" s="8"/>
      <c r="E1" s="11" t="s">
        <v>35</v>
      </c>
      <c r="G1" s="11" t="s">
        <v>36</v>
      </c>
    </row>
    <row r="2" spans="2:16" x14ac:dyDescent="0.2">
      <c r="B2" t="s">
        <v>5</v>
      </c>
      <c r="C2" s="1">
        <v>250000</v>
      </c>
      <c r="D2" s="1"/>
      <c r="E2" s="1">
        <f>C2*(1+E19)</f>
        <v>6249.99999999995</v>
      </c>
      <c r="G2" s="1">
        <f>C2*(1+G19)</f>
        <v>91071.428571428522</v>
      </c>
      <c r="K2" s="1">
        <f>MAX(E8,0)</f>
        <v>287.82894736842718</v>
      </c>
    </row>
    <row r="3" spans="2:16" x14ac:dyDescent="0.2">
      <c r="B3" t="s">
        <v>12</v>
      </c>
      <c r="C3" s="3">
        <v>7</v>
      </c>
      <c r="D3" s="3"/>
      <c r="E3" s="3">
        <f>C3+E17</f>
        <v>8.7960526315789487</v>
      </c>
      <c r="G3" s="3">
        <f>C3+G17</f>
        <v>8.1710526315789487</v>
      </c>
      <c r="J3" t="s">
        <v>21</v>
      </c>
      <c r="K3" s="1">
        <f>G8-MAX(E8,0)</f>
        <v>60825.892857142957</v>
      </c>
    </row>
    <row r="4" spans="2:16" x14ac:dyDescent="0.2">
      <c r="B4" t="s">
        <v>13</v>
      </c>
      <c r="C4" s="3">
        <v>5</v>
      </c>
      <c r="D4" s="3"/>
      <c r="E4" s="3">
        <f>C4+E16</f>
        <v>8.75</v>
      </c>
      <c r="G4" s="3">
        <f>C4+G16</f>
        <v>7.5</v>
      </c>
    </row>
    <row r="5" spans="2:16" x14ac:dyDescent="0.2">
      <c r="C5" s="3"/>
      <c r="D5" s="3"/>
      <c r="E5" s="3"/>
      <c r="G5" s="3"/>
      <c r="J5" t="s">
        <v>4</v>
      </c>
      <c r="K5" s="1">
        <v>150000</v>
      </c>
    </row>
    <row r="6" spans="2:16" x14ac:dyDescent="0.2">
      <c r="B6" t="s">
        <v>0</v>
      </c>
      <c r="C6" s="1">
        <f>C2*C3</f>
        <v>1750000</v>
      </c>
      <c r="D6" s="1"/>
      <c r="E6" s="1">
        <f>E2*E3</f>
        <v>54975.328947367991</v>
      </c>
      <c r="G6" s="1">
        <f>G2*G3</f>
        <v>744149.43609022524</v>
      </c>
    </row>
    <row r="7" spans="2:16" x14ac:dyDescent="0.2">
      <c r="B7" s="9" t="s">
        <v>9</v>
      </c>
      <c r="C7" s="10">
        <f>C2*C4</f>
        <v>1250000</v>
      </c>
      <c r="D7" s="1"/>
      <c r="E7" s="10">
        <f>E2*E4</f>
        <v>54687.499999999563</v>
      </c>
      <c r="G7" s="10">
        <f>G2*G4</f>
        <v>683035.71428571385</v>
      </c>
      <c r="J7">
        <v>0</v>
      </c>
      <c r="K7">
        <v>1</v>
      </c>
      <c r="L7">
        <v>2</v>
      </c>
      <c r="M7">
        <v>3</v>
      </c>
      <c r="N7">
        <v>4</v>
      </c>
      <c r="O7">
        <v>5</v>
      </c>
    </row>
    <row r="8" spans="2:16" x14ac:dyDescent="0.2">
      <c r="B8" t="s">
        <v>1</v>
      </c>
      <c r="C8" s="1">
        <f>C6-C7</f>
        <v>500000</v>
      </c>
      <c r="D8" s="1"/>
      <c r="E8" s="1">
        <f>E6-E7</f>
        <v>287.82894736842718</v>
      </c>
      <c r="G8" s="1">
        <f>G6-G7</f>
        <v>61113.721804511384</v>
      </c>
      <c r="J8" s="11" t="s">
        <v>25</v>
      </c>
      <c r="K8" s="11" t="s">
        <v>26</v>
      </c>
      <c r="L8" s="11" t="s">
        <v>27</v>
      </c>
      <c r="M8" s="11" t="s">
        <v>28</v>
      </c>
      <c r="N8" s="11" t="s">
        <v>29</v>
      </c>
      <c r="O8" s="11" t="s">
        <v>30</v>
      </c>
    </row>
    <row r="9" spans="2:16" x14ac:dyDescent="0.2">
      <c r="I9" s="12" t="s">
        <v>31</v>
      </c>
      <c r="J9" s="4">
        <f>K5*-1</f>
        <v>-150000</v>
      </c>
      <c r="K9" s="4">
        <f>$K$3</f>
        <v>60825.892857142957</v>
      </c>
      <c r="L9" s="4">
        <f t="shared" ref="L9:O9" si="0">$K$3</f>
        <v>60825.892857142957</v>
      </c>
      <c r="M9" s="4">
        <f t="shared" si="0"/>
        <v>60825.892857142957</v>
      </c>
      <c r="N9" s="4">
        <f t="shared" si="0"/>
        <v>60825.892857142957</v>
      </c>
      <c r="O9" s="4">
        <f t="shared" si="0"/>
        <v>60825.892857142957</v>
      </c>
    </row>
    <row r="10" spans="2:16" x14ac:dyDescent="0.2">
      <c r="B10" t="s">
        <v>2</v>
      </c>
      <c r="C10">
        <v>3.8</v>
      </c>
      <c r="I10" s="12" t="s">
        <v>32</v>
      </c>
      <c r="J10" s="3">
        <f>1/(1+$C$21)^J7</f>
        <v>1</v>
      </c>
      <c r="K10" s="3">
        <f t="shared" ref="K10:O10" si="1">1/(1+$C$21)^K7</f>
        <v>0.9174311926605504</v>
      </c>
      <c r="L10" s="3">
        <f t="shared" si="1"/>
        <v>0.84167999326655996</v>
      </c>
      <c r="M10" s="3">
        <f t="shared" si="1"/>
        <v>0.77218348006106419</v>
      </c>
      <c r="N10" s="3">
        <f t="shared" si="1"/>
        <v>0.7084252110651964</v>
      </c>
      <c r="O10" s="3">
        <f t="shared" si="1"/>
        <v>0.64993138629834524</v>
      </c>
    </row>
    <row r="11" spans="2:16" x14ac:dyDescent="0.2">
      <c r="I11" s="12" t="s">
        <v>33</v>
      </c>
      <c r="J11" s="4">
        <f>J9*J10</f>
        <v>-150000</v>
      </c>
      <c r="K11" s="4">
        <f t="shared" ref="K11:O11" si="2">K9*K10</f>
        <v>55803.571428571515</v>
      </c>
      <c r="L11" s="4">
        <f t="shared" si="2"/>
        <v>51195.937090432584</v>
      </c>
      <c r="M11" s="4">
        <f t="shared" si="2"/>
        <v>46968.749624250078</v>
      </c>
      <c r="N11" s="4">
        <f t="shared" si="2"/>
        <v>43090.595985550521</v>
      </c>
      <c r="O11" s="4">
        <f t="shared" si="2"/>
        <v>39532.656867477541</v>
      </c>
    </row>
    <row r="12" spans="2:16" x14ac:dyDescent="0.2">
      <c r="B12" t="s">
        <v>3</v>
      </c>
      <c r="C12" s="2">
        <v>0.75</v>
      </c>
      <c r="D12" s="2"/>
      <c r="F12" t="s">
        <v>20</v>
      </c>
      <c r="G12" s="2">
        <v>0.5</v>
      </c>
      <c r="I12" s="12"/>
      <c r="J12" s="5"/>
      <c r="K12" s="5"/>
      <c r="L12" s="5"/>
      <c r="M12" s="5"/>
      <c r="N12" s="5"/>
      <c r="O12" s="5"/>
    </row>
    <row r="13" spans="2:16" x14ac:dyDescent="0.2">
      <c r="I13" s="12" t="s">
        <v>34</v>
      </c>
      <c r="J13" s="5">
        <f>SUM(J11:O11)</f>
        <v>86591.510996282232</v>
      </c>
      <c r="K13" s="5"/>
      <c r="L13" s="5"/>
      <c r="M13" s="5"/>
      <c r="N13" s="5"/>
      <c r="O13" s="5"/>
    </row>
    <row r="14" spans="2:16" x14ac:dyDescent="0.2">
      <c r="B14" t="s">
        <v>8</v>
      </c>
      <c r="D14" s="2"/>
      <c r="E14" s="2">
        <f>($C$4*$C$10*-1-$C$3+$C$10*$C$3-$C$4*$C$10*$C$12)/(-2*$C$4*$C$10*$C$12)</f>
        <v>0.47894736842105273</v>
      </c>
      <c r="G14" s="2">
        <f>($C$4*$C$10*-1-$C$3+$C$10*$C$3-$C$4*$C$10*$G$12)/(-2*$C$4*$C$10*$G$12)</f>
        <v>0.46842105263157907</v>
      </c>
      <c r="I14" s="12" t="s">
        <v>41</v>
      </c>
      <c r="J14" s="5">
        <f>MAX(0,SUM(K11:O11))</f>
        <v>236591.51099628225</v>
      </c>
      <c r="K14" s="5"/>
      <c r="L14" s="5"/>
      <c r="M14" s="5"/>
      <c r="N14" s="5"/>
      <c r="O14" s="5"/>
    </row>
    <row r="15" spans="2:16" x14ac:dyDescent="0.2">
      <c r="E15" s="14"/>
      <c r="J15" t="s">
        <v>33</v>
      </c>
      <c r="M15" t="s">
        <v>39</v>
      </c>
      <c r="P15" t="s">
        <v>42</v>
      </c>
    </row>
    <row r="16" spans="2:16" x14ac:dyDescent="0.2">
      <c r="B16" t="s">
        <v>14</v>
      </c>
      <c r="E16">
        <f>C4*C12</f>
        <v>3.75</v>
      </c>
      <c r="G16" s="13">
        <f>C4*G12</f>
        <v>2.5</v>
      </c>
      <c r="J16" s="5">
        <f>J13</f>
        <v>86591.510996282232</v>
      </c>
      <c r="M16" s="1">
        <f>E2</f>
        <v>6249.99999999995</v>
      </c>
      <c r="P16" s="5">
        <f>J14</f>
        <v>236591.51099628225</v>
      </c>
    </row>
    <row r="17" spans="2:17" x14ac:dyDescent="0.2">
      <c r="B17" t="s">
        <v>15</v>
      </c>
      <c r="E17" s="3">
        <f>E16*E14</f>
        <v>1.7960526315789478</v>
      </c>
      <c r="G17" s="3">
        <f>G16*G14</f>
        <v>1.1710526315789478</v>
      </c>
      <c r="I17" s="2">
        <v>0.05</v>
      </c>
      <c r="J17" s="4">
        <f t="dataTable" ref="J17:J46" dt2D="0" dtr="0" r1="C12"/>
        <v>-1615130.9167200942</v>
      </c>
      <c r="L17" s="2">
        <v>0.05</v>
      </c>
      <c r="M17">
        <f t="dataTable" ref="M17:M46" dt2D="0" dtr="0" r1="C12" ca="1"/>
        <v>243749.99999999997</v>
      </c>
      <c r="O17" s="2">
        <v>0.05</v>
      </c>
      <c r="P17">
        <f t="dataTable" ref="P17:P46" dt2D="0" dtr="0" r1="C12" ca="1"/>
        <v>0</v>
      </c>
      <c r="Q17" s="1">
        <f>P17-$K$5</f>
        <v>-150000</v>
      </c>
    </row>
    <row r="18" spans="2:17" x14ac:dyDescent="0.2">
      <c r="B18" t="s">
        <v>10</v>
      </c>
      <c r="E18" s="7">
        <f>E17/C3</f>
        <v>0.25657894736842113</v>
      </c>
      <c r="F18" s="7"/>
      <c r="G18" s="7">
        <f>G17/C3</f>
        <v>0.16729323308270683</v>
      </c>
      <c r="I18" s="15">
        <f>I17+5%</f>
        <v>0.1</v>
      </c>
      <c r="J18" s="4">
        <v>-1386353.4372796528</v>
      </c>
      <c r="L18" s="15">
        <f>L17+5%</f>
        <v>0.1</v>
      </c>
      <c r="M18">
        <v>226785.71428571426</v>
      </c>
      <c r="O18" s="15">
        <f>O17+5%</f>
        <v>0.1</v>
      </c>
      <c r="P18">
        <v>0</v>
      </c>
      <c r="Q18" s="1">
        <f t="shared" ref="Q18:Q46" si="3">P18-$K$5</f>
        <v>-150000</v>
      </c>
    </row>
    <row r="19" spans="2:17" x14ac:dyDescent="0.2">
      <c r="B19" t="s">
        <v>11</v>
      </c>
      <c r="E19" s="7">
        <f>MAX(C10*E18*-1,-1)</f>
        <v>-0.9750000000000002</v>
      </c>
      <c r="F19" s="7"/>
      <c r="G19" s="7">
        <f>C10*G18*-1</f>
        <v>-0.6357142857142859</v>
      </c>
      <c r="I19" s="15">
        <f t="shared" ref="I19:I46" si="4">I18+5%</f>
        <v>0.15000000000000002</v>
      </c>
      <c r="J19" s="4">
        <v>-1174072.2466793186</v>
      </c>
      <c r="L19" s="15">
        <f t="shared" ref="L19:L46" si="5">L18+5%</f>
        <v>0.15000000000000002</v>
      </c>
      <c r="M19">
        <v>209821.42857142852</v>
      </c>
      <c r="O19" s="15">
        <f t="shared" ref="O19:O46" si="6">O18+5%</f>
        <v>0.15000000000000002</v>
      </c>
      <c r="P19">
        <v>0</v>
      </c>
      <c r="Q19" s="1">
        <f t="shared" si="3"/>
        <v>-150000</v>
      </c>
    </row>
    <row r="20" spans="2:17" x14ac:dyDescent="0.2">
      <c r="F20" s="12"/>
      <c r="I20" s="15">
        <f t="shared" si="4"/>
        <v>0.2</v>
      </c>
      <c r="J20" s="4">
        <v>-978287.34491909295</v>
      </c>
      <c r="L20" s="15">
        <f t="shared" si="5"/>
        <v>0.2</v>
      </c>
      <c r="M20">
        <v>192857.14285714281</v>
      </c>
      <c r="O20" s="15">
        <f t="shared" si="6"/>
        <v>0.2</v>
      </c>
      <c r="P20">
        <v>0</v>
      </c>
      <c r="Q20" s="1">
        <f t="shared" si="3"/>
        <v>-150000</v>
      </c>
    </row>
    <row r="21" spans="2:17" x14ac:dyDescent="0.2">
      <c r="B21" t="s">
        <v>22</v>
      </c>
      <c r="C21" s="2">
        <v>0.09</v>
      </c>
      <c r="D21" s="2"/>
      <c r="I21" s="15">
        <f t="shared" si="4"/>
        <v>0.25</v>
      </c>
      <c r="J21" s="4">
        <v>-798998.73199897481</v>
      </c>
      <c r="L21" s="15">
        <f t="shared" si="5"/>
        <v>0.25</v>
      </c>
      <c r="M21">
        <v>175892.8571428571</v>
      </c>
      <c r="O21" s="15">
        <f t="shared" si="6"/>
        <v>0.25</v>
      </c>
      <c r="P21">
        <v>0</v>
      </c>
      <c r="Q21" s="1">
        <f t="shared" si="3"/>
        <v>-150000</v>
      </c>
    </row>
    <row r="22" spans="2:17" x14ac:dyDescent="0.2">
      <c r="B22" t="s">
        <v>23</v>
      </c>
      <c r="C22" s="3">
        <v>5</v>
      </c>
      <c r="D22" s="2" t="s">
        <v>24</v>
      </c>
      <c r="I22" s="15">
        <f t="shared" si="4"/>
        <v>0.3</v>
      </c>
      <c r="J22" s="4">
        <v>-636206.40791896463</v>
      </c>
      <c r="L22" s="15">
        <f t="shared" si="5"/>
        <v>0.3</v>
      </c>
      <c r="M22">
        <v>158928.57142857142</v>
      </c>
      <c r="O22" s="15">
        <f t="shared" si="6"/>
        <v>0.3</v>
      </c>
      <c r="P22">
        <v>0</v>
      </c>
      <c r="Q22" s="1">
        <f t="shared" si="3"/>
        <v>-150000</v>
      </c>
    </row>
    <row r="23" spans="2:17" x14ac:dyDescent="0.2">
      <c r="I23" s="15">
        <f t="shared" si="4"/>
        <v>0.35</v>
      </c>
      <c r="J23" s="4">
        <v>-489910.37267906085</v>
      </c>
      <c r="L23" s="15">
        <f t="shared" si="5"/>
        <v>0.35</v>
      </c>
      <c r="M23">
        <v>141964.28571428568</v>
      </c>
      <c r="O23" s="15">
        <f t="shared" si="6"/>
        <v>0.35</v>
      </c>
      <c r="P23">
        <v>0</v>
      </c>
      <c r="Q23" s="1">
        <f t="shared" si="3"/>
        <v>-150000</v>
      </c>
    </row>
    <row r="24" spans="2:17" x14ac:dyDescent="0.2">
      <c r="B24" t="s">
        <v>37</v>
      </c>
      <c r="C24" s="2">
        <v>0.05</v>
      </c>
      <c r="I24" s="15">
        <f t="shared" si="4"/>
        <v>0.39999999999999997</v>
      </c>
      <c r="J24" s="4">
        <v>-360110.62627926643</v>
      </c>
      <c r="L24" s="15">
        <f t="shared" si="5"/>
        <v>0.39999999999999997</v>
      </c>
      <c r="M24">
        <v>125000</v>
      </c>
      <c r="O24" s="15">
        <f t="shared" si="6"/>
        <v>0.39999999999999997</v>
      </c>
      <c r="P24">
        <v>0</v>
      </c>
      <c r="Q24" s="1">
        <f t="shared" si="3"/>
        <v>-150000</v>
      </c>
    </row>
    <row r="25" spans="2:17" x14ac:dyDescent="0.2">
      <c r="B25" t="s">
        <v>38</v>
      </c>
      <c r="C25" s="2">
        <v>1.5</v>
      </c>
      <c r="I25" s="15">
        <f t="shared" si="4"/>
        <v>0.44999999999999996</v>
      </c>
      <c r="J25" s="4">
        <v>-246807.16871957903</v>
      </c>
      <c r="L25" s="15">
        <f t="shared" si="5"/>
        <v>0.44999999999999996</v>
      </c>
      <c r="M25">
        <v>108035.71428571426</v>
      </c>
      <c r="O25" s="15">
        <f t="shared" si="6"/>
        <v>0.44999999999999996</v>
      </c>
      <c r="P25">
        <v>0</v>
      </c>
      <c r="Q25" s="1">
        <f t="shared" si="3"/>
        <v>-150000</v>
      </c>
    </row>
    <row r="26" spans="2:17" x14ac:dyDescent="0.2">
      <c r="I26" s="15">
        <f t="shared" si="4"/>
        <v>0.49999999999999994</v>
      </c>
      <c r="J26" s="4">
        <v>-149999.99999999953</v>
      </c>
      <c r="L26" s="15">
        <f t="shared" si="5"/>
        <v>0.49999999999999994</v>
      </c>
      <c r="M26">
        <v>91071.428571428551</v>
      </c>
      <c r="O26" s="15">
        <f t="shared" si="6"/>
        <v>0.49999999999999994</v>
      </c>
      <c r="P26">
        <v>4.5281500361763367E-10</v>
      </c>
      <c r="Q26" s="1">
        <f t="shared" si="3"/>
        <v>-149999.99999999953</v>
      </c>
    </row>
    <row r="27" spans="2:17" x14ac:dyDescent="0.2">
      <c r="I27" s="15">
        <f t="shared" si="4"/>
        <v>0.54999999999999993</v>
      </c>
      <c r="J27" s="4">
        <v>-69689.120120527543</v>
      </c>
      <c r="L27" s="15">
        <f t="shared" si="5"/>
        <v>0.54999999999999993</v>
      </c>
      <c r="M27">
        <v>74107.142857142841</v>
      </c>
      <c r="O27" s="15">
        <f t="shared" si="6"/>
        <v>0.54999999999999993</v>
      </c>
      <c r="P27">
        <v>80310.879879472472</v>
      </c>
      <c r="Q27" s="1">
        <f t="shared" si="3"/>
        <v>-69689.120120527528</v>
      </c>
    </row>
    <row r="28" spans="2:17" x14ac:dyDescent="0.2">
      <c r="I28" s="15">
        <f t="shared" si="4"/>
        <v>0.6</v>
      </c>
      <c r="J28" s="4">
        <v>-5874.5290811636623</v>
      </c>
      <c r="L28" s="15">
        <f t="shared" si="5"/>
        <v>0.6</v>
      </c>
      <c r="M28">
        <v>57142.857142857138</v>
      </c>
      <c r="O28" s="15">
        <f t="shared" si="6"/>
        <v>0.6</v>
      </c>
      <c r="P28">
        <v>144125.47091883633</v>
      </c>
      <c r="Q28" s="1">
        <f t="shared" si="3"/>
        <v>-5874.529081163666</v>
      </c>
    </row>
    <row r="29" spans="2:17" x14ac:dyDescent="0.2">
      <c r="I29" s="15">
        <f t="shared" si="4"/>
        <v>0.65</v>
      </c>
      <c r="J29" s="4">
        <v>41443.773118092518</v>
      </c>
      <c r="L29" s="15">
        <f t="shared" si="5"/>
        <v>0.65</v>
      </c>
      <c r="M29">
        <v>40178.571428571369</v>
      </c>
      <c r="O29" s="15">
        <f t="shared" si="6"/>
        <v>0.65</v>
      </c>
      <c r="P29">
        <v>191443.77311809253</v>
      </c>
      <c r="Q29" s="1">
        <f t="shared" si="3"/>
        <v>41443.773118092533</v>
      </c>
    </row>
    <row r="30" spans="2:17" x14ac:dyDescent="0.2">
      <c r="I30" s="15">
        <f t="shared" si="4"/>
        <v>0.70000000000000007</v>
      </c>
      <c r="J30" s="4">
        <v>72265.786477241316</v>
      </c>
      <c r="L30" s="15">
        <f t="shared" si="5"/>
        <v>0.70000000000000007</v>
      </c>
      <c r="M30">
        <v>23214.285714285659</v>
      </c>
      <c r="O30" s="15">
        <f t="shared" si="6"/>
        <v>0.70000000000000007</v>
      </c>
      <c r="P30">
        <v>222265.78647724132</v>
      </c>
      <c r="Q30" s="1">
        <f t="shared" si="3"/>
        <v>72265.786477241316</v>
      </c>
    </row>
    <row r="31" spans="2:17" x14ac:dyDescent="0.2">
      <c r="I31" s="15">
        <f t="shared" si="4"/>
        <v>0.75000000000000011</v>
      </c>
      <c r="J31" s="4">
        <v>86591.510996282232</v>
      </c>
      <c r="L31" s="15">
        <f t="shared" si="5"/>
        <v>0.75000000000000011</v>
      </c>
      <c r="M31">
        <v>6249.99999999995</v>
      </c>
      <c r="O31" s="15">
        <f t="shared" si="6"/>
        <v>0.75000000000000011</v>
      </c>
      <c r="P31">
        <v>236591.51099628225</v>
      </c>
      <c r="Q31" s="1">
        <f t="shared" si="3"/>
        <v>86591.510996282246</v>
      </c>
    </row>
    <row r="32" spans="2:17" x14ac:dyDescent="0.2">
      <c r="I32" s="15">
        <f t="shared" si="4"/>
        <v>0.80000000000000016</v>
      </c>
      <c r="J32" s="4">
        <v>87711.065225043028</v>
      </c>
      <c r="L32" s="15">
        <f t="shared" si="5"/>
        <v>0.80000000000000016</v>
      </c>
      <c r="M32">
        <v>0</v>
      </c>
      <c r="O32" s="15">
        <f t="shared" si="6"/>
        <v>0.80000000000000016</v>
      </c>
      <c r="P32">
        <v>237711.06522504304</v>
      </c>
      <c r="Q32" s="1">
        <f t="shared" si="3"/>
        <v>87711.065225043043</v>
      </c>
    </row>
    <row r="33" spans="9:17" x14ac:dyDescent="0.2">
      <c r="I33" s="15">
        <f t="shared" si="4"/>
        <v>0.8500000000000002</v>
      </c>
      <c r="J33" s="4">
        <v>87711.065225043028</v>
      </c>
      <c r="L33" s="15">
        <f t="shared" si="5"/>
        <v>0.8500000000000002</v>
      </c>
      <c r="M33">
        <v>0</v>
      </c>
      <c r="O33" s="15">
        <f t="shared" si="6"/>
        <v>0.8500000000000002</v>
      </c>
      <c r="P33">
        <v>237711.06522504304</v>
      </c>
      <c r="Q33" s="1">
        <f t="shared" si="3"/>
        <v>87711.065225043043</v>
      </c>
    </row>
    <row r="34" spans="9:17" x14ac:dyDescent="0.2">
      <c r="I34" s="15">
        <f t="shared" si="4"/>
        <v>0.90000000000000024</v>
      </c>
      <c r="J34" s="4">
        <v>87711.065225043028</v>
      </c>
      <c r="L34" s="15">
        <f t="shared" si="5"/>
        <v>0.90000000000000024</v>
      </c>
      <c r="M34">
        <v>0</v>
      </c>
      <c r="O34" s="15">
        <f t="shared" si="6"/>
        <v>0.90000000000000024</v>
      </c>
      <c r="P34">
        <v>237711.06522504304</v>
      </c>
      <c r="Q34" s="1">
        <f t="shared" si="3"/>
        <v>87711.065225043043</v>
      </c>
    </row>
    <row r="35" spans="9:17" x14ac:dyDescent="0.2">
      <c r="I35" s="15">
        <f t="shared" si="4"/>
        <v>0.95000000000000029</v>
      </c>
      <c r="J35" s="4">
        <v>87711.065225043028</v>
      </c>
      <c r="L35" s="15">
        <f t="shared" si="5"/>
        <v>0.95000000000000029</v>
      </c>
      <c r="M35">
        <v>0</v>
      </c>
      <c r="O35" s="15">
        <f t="shared" si="6"/>
        <v>0.95000000000000029</v>
      </c>
      <c r="P35">
        <v>237711.06522504304</v>
      </c>
      <c r="Q35" s="1">
        <f t="shared" si="3"/>
        <v>87711.065225043043</v>
      </c>
    </row>
    <row r="36" spans="9:17" x14ac:dyDescent="0.2">
      <c r="I36" s="15">
        <f t="shared" si="4"/>
        <v>1.0000000000000002</v>
      </c>
      <c r="J36" s="4">
        <v>87711.065225043028</v>
      </c>
      <c r="L36" s="15">
        <f t="shared" si="5"/>
        <v>1.0000000000000002</v>
      </c>
      <c r="M36">
        <v>0</v>
      </c>
      <c r="O36" s="15">
        <f t="shared" si="6"/>
        <v>1.0000000000000002</v>
      </c>
      <c r="P36">
        <v>237711.06522504304</v>
      </c>
      <c r="Q36" s="1">
        <f t="shared" si="3"/>
        <v>87711.065225043043</v>
      </c>
    </row>
    <row r="37" spans="9:17" x14ac:dyDescent="0.2">
      <c r="I37" s="15">
        <f t="shared" si="4"/>
        <v>1.0500000000000003</v>
      </c>
      <c r="J37" s="4">
        <v>87711.065225043028</v>
      </c>
      <c r="L37" s="15">
        <f t="shared" si="5"/>
        <v>1.0500000000000003</v>
      </c>
      <c r="M37">
        <v>0</v>
      </c>
      <c r="O37" s="15">
        <f t="shared" si="6"/>
        <v>1.0500000000000003</v>
      </c>
      <c r="P37">
        <v>237711.06522504304</v>
      </c>
      <c r="Q37" s="1">
        <f t="shared" si="3"/>
        <v>87711.065225043043</v>
      </c>
    </row>
    <row r="38" spans="9:17" x14ac:dyDescent="0.2">
      <c r="I38" s="15">
        <f t="shared" si="4"/>
        <v>1.1000000000000003</v>
      </c>
      <c r="J38" s="4">
        <v>87711.065225043028</v>
      </c>
      <c r="L38" s="15">
        <f t="shared" si="5"/>
        <v>1.1000000000000003</v>
      </c>
      <c r="M38">
        <v>0</v>
      </c>
      <c r="O38" s="15">
        <f t="shared" si="6"/>
        <v>1.1000000000000003</v>
      </c>
      <c r="P38">
        <v>237711.06522504304</v>
      </c>
      <c r="Q38" s="1">
        <f t="shared" si="3"/>
        <v>87711.065225043043</v>
      </c>
    </row>
    <row r="39" spans="9:17" x14ac:dyDescent="0.2">
      <c r="I39" s="15">
        <f t="shared" si="4"/>
        <v>1.1500000000000004</v>
      </c>
      <c r="J39" s="4">
        <v>87711.065225043028</v>
      </c>
      <c r="L39" s="15">
        <f t="shared" si="5"/>
        <v>1.1500000000000004</v>
      </c>
      <c r="M39">
        <v>0</v>
      </c>
      <c r="O39" s="15">
        <f t="shared" si="6"/>
        <v>1.1500000000000004</v>
      </c>
      <c r="P39">
        <v>237711.06522504304</v>
      </c>
      <c r="Q39" s="1">
        <f t="shared" si="3"/>
        <v>87711.065225043043</v>
      </c>
    </row>
    <row r="40" spans="9:17" x14ac:dyDescent="0.2">
      <c r="I40" s="15">
        <f t="shared" si="4"/>
        <v>1.2000000000000004</v>
      </c>
      <c r="J40" s="4">
        <v>87711.065225043028</v>
      </c>
      <c r="L40" s="15">
        <f t="shared" si="5"/>
        <v>1.2000000000000004</v>
      </c>
      <c r="M40">
        <v>0</v>
      </c>
      <c r="O40" s="15">
        <f t="shared" si="6"/>
        <v>1.2000000000000004</v>
      </c>
      <c r="P40">
        <v>237711.06522504304</v>
      </c>
      <c r="Q40" s="1">
        <f t="shared" si="3"/>
        <v>87711.065225043043</v>
      </c>
    </row>
    <row r="41" spans="9:17" x14ac:dyDescent="0.2">
      <c r="I41" s="15">
        <f t="shared" si="4"/>
        <v>1.2500000000000004</v>
      </c>
      <c r="J41" s="4">
        <v>87711.065225043028</v>
      </c>
      <c r="L41" s="15">
        <f t="shared" si="5"/>
        <v>1.2500000000000004</v>
      </c>
      <c r="M41">
        <v>0</v>
      </c>
      <c r="O41" s="15">
        <f t="shared" si="6"/>
        <v>1.2500000000000004</v>
      </c>
      <c r="P41">
        <v>237711.06522504304</v>
      </c>
      <c r="Q41" s="1">
        <f t="shared" si="3"/>
        <v>87711.065225043043</v>
      </c>
    </row>
    <row r="42" spans="9:17" x14ac:dyDescent="0.2">
      <c r="I42" s="15">
        <f t="shared" si="4"/>
        <v>1.3000000000000005</v>
      </c>
      <c r="J42" s="4">
        <v>87711.065225043028</v>
      </c>
      <c r="L42" s="15">
        <f t="shared" si="5"/>
        <v>1.3000000000000005</v>
      </c>
      <c r="M42">
        <v>0</v>
      </c>
      <c r="O42" s="15">
        <f t="shared" si="6"/>
        <v>1.3000000000000005</v>
      </c>
      <c r="P42">
        <v>237711.06522504304</v>
      </c>
      <c r="Q42" s="1">
        <f t="shared" si="3"/>
        <v>87711.065225043043</v>
      </c>
    </row>
    <row r="43" spans="9:17" x14ac:dyDescent="0.2">
      <c r="I43" s="15">
        <f t="shared" si="4"/>
        <v>1.3500000000000005</v>
      </c>
      <c r="J43" s="4">
        <v>87711.065225043028</v>
      </c>
      <c r="L43" s="15">
        <f t="shared" si="5"/>
        <v>1.3500000000000005</v>
      </c>
      <c r="M43">
        <v>0</v>
      </c>
      <c r="O43" s="15">
        <f t="shared" si="6"/>
        <v>1.3500000000000005</v>
      </c>
      <c r="P43">
        <v>237711.06522504304</v>
      </c>
      <c r="Q43" s="1">
        <f t="shared" si="3"/>
        <v>87711.065225043043</v>
      </c>
    </row>
    <row r="44" spans="9:17" x14ac:dyDescent="0.2">
      <c r="I44" s="15">
        <f t="shared" si="4"/>
        <v>1.4000000000000006</v>
      </c>
      <c r="J44" s="4">
        <v>87711.065225043028</v>
      </c>
      <c r="L44" s="15">
        <f t="shared" si="5"/>
        <v>1.4000000000000006</v>
      </c>
      <c r="M44">
        <v>0</v>
      </c>
      <c r="O44" s="15">
        <f t="shared" si="6"/>
        <v>1.4000000000000006</v>
      </c>
      <c r="P44">
        <v>237711.06522504304</v>
      </c>
      <c r="Q44" s="1">
        <f t="shared" si="3"/>
        <v>87711.065225043043</v>
      </c>
    </row>
    <row r="45" spans="9:17" x14ac:dyDescent="0.2">
      <c r="I45" s="15">
        <f t="shared" si="4"/>
        <v>1.4500000000000006</v>
      </c>
      <c r="J45" s="4">
        <v>87711.065225043028</v>
      </c>
      <c r="L45" s="15">
        <f t="shared" si="5"/>
        <v>1.4500000000000006</v>
      </c>
      <c r="M45">
        <v>0</v>
      </c>
      <c r="O45" s="15">
        <f t="shared" si="6"/>
        <v>1.4500000000000006</v>
      </c>
      <c r="P45">
        <v>237711.06522504304</v>
      </c>
      <c r="Q45" s="1">
        <f t="shared" si="3"/>
        <v>87711.065225043043</v>
      </c>
    </row>
    <row r="46" spans="9:17" x14ac:dyDescent="0.2">
      <c r="I46" s="15">
        <f t="shared" si="4"/>
        <v>1.5000000000000007</v>
      </c>
      <c r="J46" s="4">
        <v>87711.065225043028</v>
      </c>
      <c r="L46" s="15">
        <f t="shared" si="5"/>
        <v>1.5000000000000007</v>
      </c>
      <c r="M46">
        <v>0</v>
      </c>
      <c r="O46" s="15">
        <f t="shared" si="6"/>
        <v>1.5000000000000007</v>
      </c>
      <c r="P46">
        <v>237711.06522504304</v>
      </c>
      <c r="Q46" s="1">
        <f t="shared" si="3"/>
        <v>87711.065225043043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9E49D-F8BD-2D4B-8025-5842BB9C2807}">
  <dimension ref="B2:J35"/>
  <sheetViews>
    <sheetView tabSelected="1" workbookViewId="0">
      <selection activeCell="L17" sqref="L17"/>
    </sheetView>
  </sheetViews>
  <sheetFormatPr baseColWidth="10" defaultRowHeight="16" x14ac:dyDescent="0.2"/>
  <cols>
    <col min="9" max="9" width="12.1640625" bestFit="1" customWidth="1"/>
    <col min="10" max="10" width="10.1640625" customWidth="1"/>
  </cols>
  <sheetData>
    <row r="2" spans="2:10" x14ac:dyDescent="0.2">
      <c r="C2" t="s">
        <v>33</v>
      </c>
      <c r="F2" t="s">
        <v>39</v>
      </c>
      <c r="I2" t="s">
        <v>42</v>
      </c>
    </row>
    <row r="3" spans="2:10" ht="32" customHeight="1" x14ac:dyDescent="0.2">
      <c r="B3" t="s">
        <v>43</v>
      </c>
      <c r="C3">
        <v>86591.510996282232</v>
      </c>
      <c r="F3">
        <v>6249.99999999995</v>
      </c>
      <c r="H3" s="16" t="s">
        <v>43</v>
      </c>
      <c r="I3" s="16" t="s">
        <v>44</v>
      </c>
      <c r="J3" s="16" t="s">
        <v>45</v>
      </c>
    </row>
    <row r="4" spans="2:10" x14ac:dyDescent="0.2">
      <c r="B4" s="6">
        <v>0.05</v>
      </c>
      <c r="C4">
        <v>-1615130.9167200942</v>
      </c>
      <c r="E4" s="6">
        <v>0.05</v>
      </c>
      <c r="F4">
        <v>243749.99999999997</v>
      </c>
      <c r="H4" s="6">
        <v>0.05</v>
      </c>
      <c r="I4" s="4">
        <v>0</v>
      </c>
      <c r="J4" s="4">
        <v>-150000</v>
      </c>
    </row>
    <row r="5" spans="2:10" x14ac:dyDescent="0.2">
      <c r="B5" s="6">
        <v>0.1</v>
      </c>
      <c r="C5">
        <v>-1386353.4372796528</v>
      </c>
      <c r="E5" s="6">
        <v>0.1</v>
      </c>
      <c r="F5">
        <v>226785.71428571426</v>
      </c>
      <c r="H5" s="6">
        <v>0.1</v>
      </c>
      <c r="I5" s="4">
        <v>0</v>
      </c>
      <c r="J5" s="4">
        <v>-150000</v>
      </c>
    </row>
    <row r="6" spans="2:10" x14ac:dyDescent="0.2">
      <c r="B6" s="6">
        <v>0.15000000000000002</v>
      </c>
      <c r="C6">
        <v>-1174072.2466793186</v>
      </c>
      <c r="E6" s="6">
        <v>0.15000000000000002</v>
      </c>
      <c r="F6">
        <v>209821.42857142852</v>
      </c>
      <c r="H6" s="6">
        <v>0.15000000000000002</v>
      </c>
      <c r="I6" s="4">
        <v>0</v>
      </c>
      <c r="J6" s="4">
        <v>-150000</v>
      </c>
    </row>
    <row r="7" spans="2:10" x14ac:dyDescent="0.2">
      <c r="B7" s="6">
        <v>0.2</v>
      </c>
      <c r="C7">
        <v>-978287.34491909295</v>
      </c>
      <c r="E7" s="6">
        <v>0.2</v>
      </c>
      <c r="F7">
        <v>192857.14285714281</v>
      </c>
      <c r="H7" s="6">
        <v>0.2</v>
      </c>
      <c r="I7" s="4">
        <v>0</v>
      </c>
      <c r="J7" s="4">
        <v>-150000</v>
      </c>
    </row>
    <row r="8" spans="2:10" x14ac:dyDescent="0.2">
      <c r="B8" s="6">
        <v>0.25</v>
      </c>
      <c r="C8">
        <v>-798998.73199897481</v>
      </c>
      <c r="E8" s="6">
        <v>0.25</v>
      </c>
      <c r="F8">
        <v>175892.8571428571</v>
      </c>
      <c r="H8" s="6">
        <v>0.25</v>
      </c>
      <c r="I8" s="4">
        <v>0</v>
      </c>
      <c r="J8" s="4">
        <v>-150000</v>
      </c>
    </row>
    <row r="9" spans="2:10" x14ac:dyDescent="0.2">
      <c r="B9" s="6">
        <v>0.3</v>
      </c>
      <c r="C9">
        <v>-636206.40791896463</v>
      </c>
      <c r="E9" s="6">
        <v>0.3</v>
      </c>
      <c r="F9">
        <v>158928.57142857142</v>
      </c>
      <c r="H9" s="6">
        <v>0.3</v>
      </c>
      <c r="I9" s="4">
        <v>0</v>
      </c>
      <c r="J9" s="4">
        <v>-150000</v>
      </c>
    </row>
    <row r="10" spans="2:10" x14ac:dyDescent="0.2">
      <c r="B10" s="6">
        <v>0.35</v>
      </c>
      <c r="C10">
        <v>-489910.37267906085</v>
      </c>
      <c r="E10" s="6">
        <v>0.35</v>
      </c>
      <c r="F10">
        <v>141964.28571428568</v>
      </c>
      <c r="H10" s="6">
        <v>0.35</v>
      </c>
      <c r="I10" s="4">
        <v>0</v>
      </c>
      <c r="J10" s="4">
        <v>-150000</v>
      </c>
    </row>
    <row r="11" spans="2:10" x14ac:dyDescent="0.2">
      <c r="B11" s="6">
        <v>0.39999999999999997</v>
      </c>
      <c r="C11">
        <v>-360110.62627926643</v>
      </c>
      <c r="E11" s="6">
        <v>0.39999999999999997</v>
      </c>
      <c r="F11">
        <v>125000</v>
      </c>
      <c r="H11" s="6">
        <v>0.39999999999999997</v>
      </c>
      <c r="I11" s="4">
        <v>0</v>
      </c>
      <c r="J11" s="4">
        <v>-150000</v>
      </c>
    </row>
    <row r="12" spans="2:10" x14ac:dyDescent="0.2">
      <c r="B12" s="6">
        <v>0.44999999999999996</v>
      </c>
      <c r="C12">
        <v>-246807.16871957903</v>
      </c>
      <c r="E12" s="6">
        <v>0.44999999999999996</v>
      </c>
      <c r="F12">
        <v>108035.71428571426</v>
      </c>
      <c r="H12" s="6">
        <v>0.44999999999999996</v>
      </c>
      <c r="I12" s="4">
        <v>0</v>
      </c>
      <c r="J12" s="4">
        <v>-150000</v>
      </c>
    </row>
    <row r="13" spans="2:10" x14ac:dyDescent="0.2">
      <c r="B13" s="6">
        <v>0.49999999999999994</v>
      </c>
      <c r="C13">
        <v>-149999.99999999953</v>
      </c>
      <c r="E13" s="6">
        <v>0.49999999999999994</v>
      </c>
      <c r="F13">
        <v>91071.428571428551</v>
      </c>
      <c r="H13" s="6">
        <v>0.49999999999999994</v>
      </c>
      <c r="I13" s="4">
        <v>4.5281500361763367E-10</v>
      </c>
      <c r="J13" s="4">
        <v>-149999.99999999953</v>
      </c>
    </row>
    <row r="14" spans="2:10" x14ac:dyDescent="0.2">
      <c r="B14" s="6">
        <v>0.54999999999999993</v>
      </c>
      <c r="C14">
        <v>-69689.120120527543</v>
      </c>
      <c r="E14" s="6">
        <v>0.54999999999999993</v>
      </c>
      <c r="F14">
        <v>74107.142857142841</v>
      </c>
      <c r="H14" s="6">
        <v>0.54999999999999993</v>
      </c>
      <c r="I14" s="4">
        <v>80310.879879472472</v>
      </c>
      <c r="J14" s="4">
        <v>-69689.120120527528</v>
      </c>
    </row>
    <row r="15" spans="2:10" x14ac:dyDescent="0.2">
      <c r="B15" s="6">
        <v>0.6</v>
      </c>
      <c r="C15">
        <v>-5874.5290811636623</v>
      </c>
      <c r="E15" s="6">
        <v>0.6</v>
      </c>
      <c r="F15">
        <v>57142.857142857138</v>
      </c>
      <c r="H15" s="6">
        <v>0.6</v>
      </c>
      <c r="I15" s="4">
        <v>144125.47091883633</v>
      </c>
      <c r="J15" s="4">
        <v>-5874.529081163666</v>
      </c>
    </row>
    <row r="16" spans="2:10" x14ac:dyDescent="0.2">
      <c r="B16" s="6">
        <v>0.65</v>
      </c>
      <c r="C16">
        <v>41443.773118092518</v>
      </c>
      <c r="E16" s="6">
        <v>0.65</v>
      </c>
      <c r="F16">
        <v>40178.571428571369</v>
      </c>
      <c r="H16" s="6">
        <v>0.65</v>
      </c>
      <c r="I16" s="4">
        <v>191443.77311809253</v>
      </c>
      <c r="J16" s="4">
        <v>41443.773118092533</v>
      </c>
    </row>
    <row r="17" spans="2:10" x14ac:dyDescent="0.2">
      <c r="B17" s="6">
        <v>0.70000000000000007</v>
      </c>
      <c r="C17">
        <v>72265.786477241316</v>
      </c>
      <c r="E17" s="6">
        <v>0.70000000000000007</v>
      </c>
      <c r="F17">
        <v>23214.285714285659</v>
      </c>
      <c r="H17" s="6">
        <v>0.70000000000000007</v>
      </c>
      <c r="I17" s="4">
        <v>222265.78647724132</v>
      </c>
      <c r="J17" s="4">
        <v>72265.786477241316</v>
      </c>
    </row>
    <row r="18" spans="2:10" x14ac:dyDescent="0.2">
      <c r="B18" s="6">
        <v>0.75000000000000011</v>
      </c>
      <c r="C18">
        <v>86591.510996282232</v>
      </c>
      <c r="E18" s="6">
        <v>0.75000000000000011</v>
      </c>
      <c r="F18">
        <v>6249.99999999995</v>
      </c>
      <c r="H18" s="6">
        <v>0.75000000000000011</v>
      </c>
      <c r="I18" s="4">
        <v>236591.51099628225</v>
      </c>
      <c r="J18" s="4">
        <v>86591.510996282246</v>
      </c>
    </row>
    <row r="19" spans="2:10" x14ac:dyDescent="0.2">
      <c r="B19" s="6">
        <v>0.80000000000000016</v>
      </c>
      <c r="C19">
        <v>87711.065225043028</v>
      </c>
      <c r="E19" s="6">
        <v>0.80000000000000016</v>
      </c>
      <c r="F19">
        <v>0</v>
      </c>
      <c r="H19" s="6">
        <v>0.80000000000000016</v>
      </c>
      <c r="I19" s="4">
        <v>237711.06522504304</v>
      </c>
      <c r="J19" s="4">
        <v>87711.065225043043</v>
      </c>
    </row>
    <row r="20" spans="2:10" x14ac:dyDescent="0.2">
      <c r="B20" s="6">
        <v>0.8500000000000002</v>
      </c>
      <c r="C20">
        <v>87711.065225043028</v>
      </c>
      <c r="E20" s="6">
        <v>0.8500000000000002</v>
      </c>
      <c r="F20">
        <v>0</v>
      </c>
      <c r="H20" s="6">
        <v>0.8500000000000002</v>
      </c>
      <c r="I20" s="4">
        <v>237711.06522504304</v>
      </c>
      <c r="J20" s="4">
        <v>87711.065225043043</v>
      </c>
    </row>
    <row r="21" spans="2:10" x14ac:dyDescent="0.2">
      <c r="B21" s="6">
        <v>0.90000000000000024</v>
      </c>
      <c r="C21">
        <v>87711.065225043028</v>
      </c>
      <c r="E21" s="6">
        <v>0.90000000000000024</v>
      </c>
      <c r="F21">
        <v>0</v>
      </c>
      <c r="H21" s="6">
        <v>0.90000000000000024</v>
      </c>
      <c r="I21" s="4">
        <v>237711.06522504304</v>
      </c>
      <c r="J21" s="4">
        <v>87711.065225043043</v>
      </c>
    </row>
    <row r="22" spans="2:10" x14ac:dyDescent="0.2">
      <c r="B22" s="6">
        <v>0.95000000000000029</v>
      </c>
      <c r="C22">
        <v>87711.065225043028</v>
      </c>
      <c r="E22" s="6">
        <v>0.95000000000000029</v>
      </c>
      <c r="F22">
        <v>0</v>
      </c>
      <c r="H22" s="6">
        <v>0.95000000000000029</v>
      </c>
      <c r="I22" s="4">
        <v>237711.06522504304</v>
      </c>
      <c r="J22" s="4">
        <v>87711.065225043043</v>
      </c>
    </row>
    <row r="23" spans="2:10" x14ac:dyDescent="0.2">
      <c r="B23" s="6">
        <v>1.0000000000000002</v>
      </c>
      <c r="C23">
        <v>87711.065225043028</v>
      </c>
      <c r="E23" s="6">
        <v>1.0000000000000002</v>
      </c>
      <c r="F23">
        <v>0</v>
      </c>
      <c r="H23" s="6">
        <v>1.0000000000000002</v>
      </c>
      <c r="I23" s="4">
        <v>237711.06522504304</v>
      </c>
      <c r="J23" s="4">
        <v>87711.065225043043</v>
      </c>
    </row>
    <row r="24" spans="2:10" x14ac:dyDescent="0.2">
      <c r="B24" s="6">
        <v>1.0500000000000003</v>
      </c>
      <c r="C24">
        <v>87711.065225043028</v>
      </c>
      <c r="E24" s="6">
        <v>1.0500000000000003</v>
      </c>
      <c r="F24">
        <v>0</v>
      </c>
      <c r="H24" s="6">
        <v>1.0500000000000003</v>
      </c>
      <c r="I24" s="4">
        <v>237711.06522504304</v>
      </c>
      <c r="J24" s="4">
        <v>87711.065225043043</v>
      </c>
    </row>
    <row r="25" spans="2:10" x14ac:dyDescent="0.2">
      <c r="B25" s="6">
        <v>1.1000000000000003</v>
      </c>
      <c r="C25">
        <v>87711.065225043028</v>
      </c>
      <c r="E25" s="6">
        <v>1.1000000000000003</v>
      </c>
      <c r="F25">
        <v>0</v>
      </c>
      <c r="H25" s="6">
        <v>1.1000000000000003</v>
      </c>
      <c r="I25" s="4">
        <v>237711.06522504304</v>
      </c>
      <c r="J25" s="4">
        <v>87711.065225043043</v>
      </c>
    </row>
    <row r="26" spans="2:10" x14ac:dyDescent="0.2">
      <c r="B26" s="6">
        <v>1.1500000000000004</v>
      </c>
      <c r="C26">
        <v>87711.065225043028</v>
      </c>
      <c r="E26" s="6">
        <v>1.1500000000000004</v>
      </c>
      <c r="F26">
        <v>0</v>
      </c>
      <c r="H26" s="6">
        <v>1.1500000000000004</v>
      </c>
      <c r="I26" s="4">
        <v>237711.06522504304</v>
      </c>
      <c r="J26" s="4">
        <v>87711.065225043043</v>
      </c>
    </row>
    <row r="27" spans="2:10" x14ac:dyDescent="0.2">
      <c r="B27" s="6">
        <v>1.2000000000000004</v>
      </c>
      <c r="C27">
        <v>87711.065225043028</v>
      </c>
      <c r="E27" s="6">
        <v>1.2000000000000004</v>
      </c>
      <c r="F27">
        <v>0</v>
      </c>
      <c r="H27" s="6">
        <v>1.2000000000000004</v>
      </c>
      <c r="I27" s="4">
        <v>237711.06522504304</v>
      </c>
      <c r="J27" s="4">
        <v>87711.065225043043</v>
      </c>
    </row>
    <row r="28" spans="2:10" x14ac:dyDescent="0.2">
      <c r="B28" s="6">
        <v>1.2500000000000004</v>
      </c>
      <c r="C28">
        <v>87711.065225043028</v>
      </c>
      <c r="E28" s="6">
        <v>1.2500000000000004</v>
      </c>
      <c r="F28">
        <v>0</v>
      </c>
      <c r="H28" s="6">
        <v>1.2500000000000004</v>
      </c>
      <c r="I28" s="4">
        <v>237711.06522504304</v>
      </c>
      <c r="J28" s="4">
        <v>87711.065225043043</v>
      </c>
    </row>
    <row r="29" spans="2:10" x14ac:dyDescent="0.2">
      <c r="B29" s="6">
        <v>1.3000000000000005</v>
      </c>
      <c r="C29">
        <v>87711.065225043028</v>
      </c>
      <c r="E29" s="6">
        <v>1.3000000000000005</v>
      </c>
      <c r="F29">
        <v>0</v>
      </c>
      <c r="H29" s="6">
        <v>1.3000000000000005</v>
      </c>
      <c r="I29" s="4">
        <v>237711.06522504304</v>
      </c>
      <c r="J29" s="4">
        <v>87711.065225043043</v>
      </c>
    </row>
    <row r="30" spans="2:10" x14ac:dyDescent="0.2">
      <c r="B30" s="6">
        <v>1.3500000000000005</v>
      </c>
      <c r="C30">
        <v>87711.065225043028</v>
      </c>
      <c r="E30" s="6">
        <v>1.3500000000000005</v>
      </c>
      <c r="F30">
        <v>0</v>
      </c>
      <c r="H30" s="6">
        <v>1.3500000000000005</v>
      </c>
      <c r="I30" s="4">
        <v>237711.06522504304</v>
      </c>
      <c r="J30" s="4">
        <v>87711.065225043043</v>
      </c>
    </row>
    <row r="31" spans="2:10" x14ac:dyDescent="0.2">
      <c r="B31" s="6">
        <v>1.4000000000000006</v>
      </c>
      <c r="C31">
        <v>87711.065225043028</v>
      </c>
      <c r="E31" s="6">
        <v>1.4000000000000006</v>
      </c>
      <c r="F31">
        <v>0</v>
      </c>
      <c r="H31" s="6">
        <v>1.4000000000000006</v>
      </c>
      <c r="I31" s="4">
        <v>237711.06522504304</v>
      </c>
      <c r="J31" s="4">
        <v>87711.065225043043</v>
      </c>
    </row>
    <row r="32" spans="2:10" x14ac:dyDescent="0.2">
      <c r="B32" s="6">
        <v>1.4500000000000006</v>
      </c>
      <c r="C32">
        <v>87711.065225043028</v>
      </c>
      <c r="E32" s="6">
        <v>1.4500000000000006</v>
      </c>
      <c r="F32">
        <v>0</v>
      </c>
      <c r="H32" s="6">
        <v>1.4500000000000006</v>
      </c>
      <c r="I32" s="4">
        <v>237711.06522504304</v>
      </c>
      <c r="J32" s="4">
        <v>87711.065225043043</v>
      </c>
    </row>
    <row r="33" spans="2:10" x14ac:dyDescent="0.2">
      <c r="B33" s="6">
        <v>1.5000000000000007</v>
      </c>
      <c r="C33">
        <v>87711.065225043028</v>
      </c>
      <c r="E33" s="6">
        <v>1.5000000000000007</v>
      </c>
      <c r="F33">
        <v>0</v>
      </c>
      <c r="H33" s="6">
        <v>1.5000000000000007</v>
      </c>
      <c r="I33" s="4">
        <v>237711.06522504304</v>
      </c>
      <c r="J33" s="4">
        <v>87711.065225043043</v>
      </c>
    </row>
    <row r="35" spans="2:10" x14ac:dyDescent="0.2">
      <c r="H35" t="s">
        <v>46</v>
      </c>
      <c r="I35" s="5">
        <f>SUM(I4:I33)/COUNT(H4:H33)</f>
        <v>148013.44665885236</v>
      </c>
      <c r="J35" s="5">
        <f>AVERAGE(J4:J33)</f>
        <v>-1986.5533411476101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290AC-CBA8-8C43-9114-CDD4AA8E76C0}">
  <dimension ref="B10"/>
  <sheetViews>
    <sheetView workbookViewId="0">
      <selection activeCell="B16" sqref="B16"/>
    </sheetView>
  </sheetViews>
  <sheetFormatPr baseColWidth="10" defaultRowHeight="16" x14ac:dyDescent="0.2"/>
  <sheetData>
    <row r="10" spans="2:2" x14ac:dyDescent="0.2">
      <c r="B10" t="s">
        <v>40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P1 Pass through</vt:lpstr>
      <vt:lpstr>P2 Investment</vt:lpstr>
      <vt:lpstr>P3 Uncertainty</vt:lpstr>
      <vt:lpstr>P3 Formatted Results</vt:lpstr>
      <vt:lpstr>P3 Mathematica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Schenz</dc:creator>
  <cp:lastModifiedBy>David Schenz</cp:lastModifiedBy>
  <dcterms:created xsi:type="dcterms:W3CDTF">2025-04-11T23:17:08Z</dcterms:created>
  <dcterms:modified xsi:type="dcterms:W3CDTF">2025-04-13T03:27:46Z</dcterms:modified>
</cp:coreProperties>
</file>